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66925"/>
  <mc:AlternateContent xmlns:mc="http://schemas.openxmlformats.org/markup-compatibility/2006">
    <mc:Choice Requires="x15">
      <x15ac:absPath xmlns:x15ac="http://schemas.microsoft.com/office/spreadsheetml/2010/11/ac" url="C:\Users\siddh\Desktop\Current Folder\F2\"/>
    </mc:Choice>
  </mc:AlternateContent>
  <xr:revisionPtr revIDLastSave="0" documentId="13_ncr:1_{3F0F0705-7AC6-4D1E-B6EC-3F3AF1149B3C}" xr6:coauthVersionLast="47" xr6:coauthVersionMax="47" xr10:uidLastSave="{00000000-0000-0000-0000-000000000000}"/>
  <bookViews>
    <workbookView xWindow="-110" yWindow="-110" windowWidth="19420" windowHeight="10300" tabRatio="765" xr2:uid="{00000000-000D-0000-FFFF-FFFF00000000}"/>
  </bookViews>
  <sheets>
    <sheet name="📝 Instructions" sheetId="1" r:id="rId1"/>
    <sheet name="⏱ Input" sheetId="2" r:id="rId2"/>
    <sheet name="📊 Progress" sheetId="5" r:id="rId3"/>
    <sheet name="📊 Summary" sheetId="10" r:id="rId4"/>
    <sheet name="Working" sheetId="8" state="veryHidden" r:id="rId5"/>
  </sheets>
  <definedNames>
    <definedName name="Message">CONCATENATE('📝 Instructions'!XER1048576,", you have ",CHAR(10),Working!XER12," days to complete ",Working!XER10," chapters &amp; ",TEXT(Working!XER15,"[h]")," hrs of lectures.",CHAR(10),"For this you must study for ",TEXT(Working!XEO29,"[h]:mm")," hrs and ",TEXT(Working!XEO30,"[h]:mm")," hrs respectively on weekdays &amp; weekends.")</definedName>
    <definedName name="_xlnm.Print_Area" localSheetId="2">'📊 Progress'!$C$2:$K$3</definedName>
    <definedName name="_xlnm.Print_Area" localSheetId="3">'📊 Summary'!$B$1:$W$47</definedName>
    <definedName name="Risk_Tolerance">#REF!</definedName>
    <definedName name="Slicer_Subject">#N/A</definedName>
    <definedName name="Start_Date">#REF!</definedName>
    <definedName name="valuevx">42.314159</definedName>
    <definedName name="vertex42_copyright" hidden="1">"© 2017 Vertex42 LLC"</definedName>
    <definedName name="vertex42_id" hidden="1">"bubble-chart-timeline.xlsx"</definedName>
    <definedName name="vertex42_title" hidden="1">"Bubble Chart Timeline Template"</definedName>
  </definedNames>
  <calcPr calcId="191029"/>
  <pivotCaches>
    <pivotCache cacheId="10" r:id="rId6"/>
  </pivotCaches>
  <fileRecoveryPr autoRecover="0"/>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05" i="2" l="1"/>
  <c r="AB105" i="2"/>
  <c r="AC105" i="2" s="1"/>
  <c r="AD105" i="2"/>
  <c r="AE105" i="2"/>
  <c r="AA106" i="2"/>
  <c r="AB106" i="2"/>
  <c r="AC106" i="2" s="1"/>
  <c r="AD106" i="2"/>
  <c r="AE106" i="2"/>
  <c r="AA107" i="2"/>
  <c r="AB107" i="2"/>
  <c r="AC107" i="2" s="1"/>
  <c r="AD107" i="2"/>
  <c r="AE107" i="2"/>
  <c r="AA108" i="2"/>
  <c r="AB108" i="2"/>
  <c r="AC108" i="2" s="1"/>
  <c r="AD108" i="2"/>
  <c r="AE108" i="2"/>
  <c r="AA109" i="2"/>
  <c r="AB109" i="2"/>
  <c r="AC109" i="2" s="1"/>
  <c r="AD109" i="2"/>
  <c r="AE109" i="2"/>
  <c r="AA110" i="2"/>
  <c r="AB110" i="2"/>
  <c r="AC110" i="2" s="1"/>
  <c r="AD110" i="2"/>
  <c r="AE110" i="2"/>
  <c r="AA111" i="2"/>
  <c r="AB111" i="2"/>
  <c r="AC111" i="2" s="1"/>
  <c r="AD111" i="2"/>
  <c r="AE111" i="2"/>
  <c r="F105" i="2"/>
  <c r="F106" i="2"/>
  <c r="F107" i="2"/>
  <c r="F108" i="2"/>
  <c r="F109" i="2"/>
  <c r="F110" i="2"/>
  <c r="F111" i="2"/>
  <c r="AA92" i="2"/>
  <c r="AA66" i="2"/>
  <c r="AA99" i="2"/>
  <c r="AA75" i="2"/>
  <c r="AA94" i="2"/>
  <c r="AA95" i="2"/>
  <c r="AA102" i="2"/>
  <c r="AA103" i="2"/>
  <c r="AA104" i="2"/>
  <c r="AA56" i="2"/>
  <c r="AA57" i="2"/>
  <c r="AA58" i="2"/>
  <c r="AA98" i="2"/>
  <c r="AA90" i="2"/>
  <c r="AA91" i="2"/>
  <c r="AA97" i="2"/>
  <c r="AA93" i="2"/>
  <c r="AA100" i="2"/>
  <c r="AA101" i="2"/>
  <c r="AA96" i="2"/>
  <c r="AA53" i="2"/>
  <c r="AA54" i="2"/>
  <c r="AA55" i="2"/>
  <c r="AA79" i="2"/>
  <c r="AA80" i="2"/>
  <c r="AA81" i="2"/>
  <c r="AA82" i="2"/>
  <c r="AA83" i="2"/>
  <c r="AA84" i="2"/>
  <c r="AA85" i="2"/>
  <c r="AA86" i="2"/>
  <c r="AA87" i="2"/>
  <c r="AA88" i="2"/>
  <c r="AA89" i="2"/>
  <c r="AA45" i="2"/>
  <c r="AA46" i="2"/>
  <c r="AA9" i="2"/>
  <c r="AA10" i="2"/>
  <c r="AA11" i="2"/>
  <c r="AA14" i="2"/>
  <c r="AA15" i="2"/>
  <c r="AA19" i="2"/>
  <c r="AA20" i="2"/>
  <c r="AA33" i="2"/>
  <c r="AA26" i="2"/>
  <c r="AA27" i="2"/>
  <c r="AA28" i="2"/>
  <c r="AA36" i="2"/>
  <c r="AA12" i="2"/>
  <c r="AA13" i="2"/>
  <c r="AE10" i="2"/>
  <c r="AE11" i="2"/>
  <c r="AE12" i="2"/>
  <c r="AE13" i="2"/>
  <c r="AE14" i="2"/>
  <c r="AE15" i="2"/>
  <c r="AE16" i="2"/>
  <c r="AE17" i="2"/>
  <c r="AE18" i="2"/>
  <c r="AE19" i="2"/>
  <c r="AE20" i="2"/>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E100" i="2"/>
  <c r="AE101" i="2"/>
  <c r="AE102" i="2"/>
  <c r="AE103" i="2"/>
  <c r="AE104" i="2"/>
  <c r="AE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87" i="2"/>
  <c r="AD88" i="2"/>
  <c r="AD89" i="2"/>
  <c r="AD90" i="2"/>
  <c r="AD91" i="2"/>
  <c r="AD92" i="2"/>
  <c r="AD93" i="2"/>
  <c r="AD94" i="2"/>
  <c r="AD95" i="2"/>
  <c r="AD96" i="2"/>
  <c r="AD97" i="2"/>
  <c r="AD98" i="2"/>
  <c r="AD99" i="2"/>
  <c r="AD100" i="2"/>
  <c r="AD101" i="2"/>
  <c r="AD102" i="2"/>
  <c r="AD103" i="2"/>
  <c r="AD104" i="2"/>
  <c r="AD9" i="2"/>
  <c r="B5" i="5"/>
  <c r="G34" i="5"/>
  <c r="L34" i="5" s="1"/>
  <c r="G35" i="5"/>
  <c r="L35" i="5" s="1"/>
  <c r="G36" i="5"/>
  <c r="L36" i="5" s="1"/>
  <c r="G37" i="5"/>
  <c r="L37" i="5" s="1"/>
  <c r="G38" i="5"/>
  <c r="G33" i="5"/>
  <c r="L33" i="5" s="1"/>
  <c r="G32" i="5"/>
  <c r="R4" i="2"/>
  <c r="S86" i="2" s="1"/>
  <c r="F9" i="2"/>
  <c r="F10" i="2"/>
  <c r="F11" i="2"/>
  <c r="F12" i="2"/>
  <c r="F13" i="2"/>
  <c r="F14" i="2"/>
  <c r="F15" i="2"/>
  <c r="F16" i="2"/>
  <c r="F17" i="2"/>
  <c r="F18" i="2"/>
  <c r="F19" i="2"/>
  <c r="F20" i="2"/>
  <c r="F21" i="2"/>
  <c r="F22" i="2"/>
  <c r="F23" i="2"/>
  <c r="F24" i="2"/>
  <c r="F25" i="2"/>
  <c r="F29" i="2"/>
  <c r="F30" i="2"/>
  <c r="F31" i="2"/>
  <c r="F32" i="2"/>
  <c r="F33" i="2"/>
  <c r="F26" i="2"/>
  <c r="F27" i="2"/>
  <c r="F28" i="2"/>
  <c r="F36" i="2"/>
  <c r="F37" i="2"/>
  <c r="F34" i="2"/>
  <c r="F35" i="2"/>
  <c r="F38" i="2"/>
  <c r="F39" i="2"/>
  <c r="F40" i="2"/>
  <c r="F41" i="2"/>
  <c r="F42" i="2"/>
  <c r="F43" i="2"/>
  <c r="F44" i="2"/>
  <c r="F45" i="2"/>
  <c r="F49" i="2"/>
  <c r="F50" i="2"/>
  <c r="F51" i="2"/>
  <c r="F52" i="2"/>
  <c r="F59" i="2"/>
  <c r="F60" i="2"/>
  <c r="F61" i="2"/>
  <c r="F62" i="2"/>
  <c r="F46" i="2"/>
  <c r="F47" i="2"/>
  <c r="F48" i="2"/>
  <c r="F63" i="2"/>
  <c r="F64" i="2"/>
  <c r="F65" i="2"/>
  <c r="F67" i="2"/>
  <c r="F68" i="2"/>
  <c r="F69" i="2"/>
  <c r="F70" i="2"/>
  <c r="F71" i="2"/>
  <c r="F72" i="2"/>
  <c r="F73" i="2"/>
  <c r="F74" i="2"/>
  <c r="F76" i="2"/>
  <c r="F77" i="2"/>
  <c r="F78" i="2"/>
  <c r="F79" i="2"/>
  <c r="F80" i="2"/>
  <c r="F81" i="2"/>
  <c r="F82" i="2"/>
  <c r="F83" i="2"/>
  <c r="F84" i="2"/>
  <c r="F85" i="2"/>
  <c r="F86" i="2"/>
  <c r="F87" i="2"/>
  <c r="F88" i="2"/>
  <c r="F89" i="2"/>
  <c r="F90" i="2"/>
  <c r="F91" i="2"/>
  <c r="F97" i="2"/>
  <c r="F93" i="2"/>
  <c r="F100" i="2"/>
  <c r="F101" i="2"/>
  <c r="F96" i="2"/>
  <c r="F53" i="2"/>
  <c r="F54" i="2"/>
  <c r="F55" i="2"/>
  <c r="F56" i="2"/>
  <c r="F57" i="2"/>
  <c r="F58" i="2"/>
  <c r="F98" i="2"/>
  <c r="F92" i="2"/>
  <c r="F66" i="2"/>
  <c r="F99" i="2"/>
  <c r="F75" i="2"/>
  <c r="F94" i="2"/>
  <c r="F95" i="2"/>
  <c r="F102" i="2"/>
  <c r="F103" i="2"/>
  <c r="F104" i="2"/>
  <c r="R5" i="2"/>
  <c r="D54" i="8" s="1"/>
  <c r="C10" i="8"/>
  <c r="C11" i="8" s="1"/>
  <c r="AB92" i="2"/>
  <c r="AC92" i="2" s="1"/>
  <c r="AB66" i="2"/>
  <c r="AC66" i="2" s="1"/>
  <c r="AB99" i="2"/>
  <c r="AC99" i="2" s="1"/>
  <c r="AB75" i="2"/>
  <c r="AC75" i="2" s="1"/>
  <c r="AB94" i="2"/>
  <c r="AC94" i="2" s="1"/>
  <c r="AB95" i="2"/>
  <c r="AC95" i="2" s="1"/>
  <c r="AB102" i="2"/>
  <c r="AC102" i="2" s="1"/>
  <c r="AB103" i="2"/>
  <c r="AC103" i="2" s="1"/>
  <c r="AB104" i="2"/>
  <c r="AC104" i="2" s="1"/>
  <c r="AB56" i="2"/>
  <c r="AC56" i="2" s="1"/>
  <c r="AB57" i="2"/>
  <c r="AC57" i="2" s="1"/>
  <c r="AB58" i="2"/>
  <c r="AC58" i="2" s="1"/>
  <c r="AB98" i="2"/>
  <c r="AC98" i="2" s="1"/>
  <c r="AB90" i="2"/>
  <c r="AC90" i="2" s="1"/>
  <c r="AB91" i="2"/>
  <c r="AC91" i="2" s="1"/>
  <c r="AB97" i="2"/>
  <c r="AC97" i="2" s="1"/>
  <c r="AB93" i="2"/>
  <c r="AC93" i="2" s="1"/>
  <c r="AB100" i="2"/>
  <c r="AC100" i="2" s="1"/>
  <c r="AB101" i="2"/>
  <c r="AC101" i="2" s="1"/>
  <c r="AB96" i="2"/>
  <c r="AC96" i="2" s="1"/>
  <c r="AB53" i="2"/>
  <c r="AC53" i="2" s="1"/>
  <c r="AB54" i="2"/>
  <c r="AC54" i="2" s="1"/>
  <c r="AB55" i="2"/>
  <c r="AC55" i="2" s="1"/>
  <c r="F16" i="8"/>
  <c r="F21" i="8"/>
  <c r="D16" i="8"/>
  <c r="D22" i="8" s="1"/>
  <c r="D21" i="8"/>
  <c r="D18" i="8"/>
  <c r="T4" i="2"/>
  <c r="C16" i="8" s="1"/>
  <c r="C22" i="8" s="1"/>
  <c r="C18" i="8"/>
  <c r="C17" i="8" s="1"/>
  <c r="C19" i="8" s="1"/>
  <c r="AB79" i="2"/>
  <c r="AC79" i="2" s="1"/>
  <c r="AB80" i="2"/>
  <c r="AC80" i="2" s="1"/>
  <c r="AB81" i="2"/>
  <c r="AC81" i="2" s="1"/>
  <c r="AB82" i="2"/>
  <c r="AC82" i="2" s="1"/>
  <c r="AB83" i="2"/>
  <c r="AC83" i="2" s="1"/>
  <c r="AB84" i="2"/>
  <c r="AC84" i="2" s="1"/>
  <c r="AB85" i="2"/>
  <c r="AC85" i="2" s="1"/>
  <c r="AB86" i="2"/>
  <c r="AC86" i="2" s="1"/>
  <c r="AB87" i="2"/>
  <c r="AC87" i="2" s="1"/>
  <c r="AB88" i="2"/>
  <c r="AC88" i="2" s="1"/>
  <c r="AB89" i="2"/>
  <c r="AC89" i="2" s="1"/>
  <c r="AA16" i="2"/>
  <c r="AA17" i="2"/>
  <c r="AA18" i="2"/>
  <c r="AA32" i="2"/>
  <c r="AA21" i="2"/>
  <c r="AA22" i="2"/>
  <c r="AA37" i="2"/>
  <c r="AA24" i="2"/>
  <c r="AA25" i="2"/>
  <c r="AA29" i="2"/>
  <c r="AA30" i="2"/>
  <c r="AA31" i="2"/>
  <c r="AA34" i="2"/>
  <c r="AA39" i="2"/>
  <c r="AA40" i="2"/>
  <c r="AA41" i="2"/>
  <c r="AA42" i="2"/>
  <c r="AA35" i="2"/>
  <c r="AA38" i="2"/>
  <c r="AA23" i="2"/>
  <c r="AA43" i="2"/>
  <c r="AA44" i="2"/>
  <c r="AA49" i="2"/>
  <c r="AA59" i="2"/>
  <c r="AA50" i="2"/>
  <c r="AA62" i="2"/>
  <c r="AA47" i="2"/>
  <c r="AA51" i="2"/>
  <c r="AA60" i="2"/>
  <c r="AA63" i="2"/>
  <c r="AA64" i="2"/>
  <c r="AA69" i="2"/>
  <c r="AA65" i="2"/>
  <c r="AA67" i="2"/>
  <c r="AA68" i="2"/>
  <c r="AA70" i="2"/>
  <c r="AA71" i="2"/>
  <c r="AA72" i="2"/>
  <c r="AA73" i="2"/>
  <c r="AA74" i="2"/>
  <c r="AA76" i="2"/>
  <c r="AA77" i="2"/>
  <c r="AA78" i="2"/>
  <c r="AA61" i="2"/>
  <c r="AA52" i="2"/>
  <c r="AA48" i="2"/>
  <c r="AB45" i="2"/>
  <c r="AC45" i="2" s="1"/>
  <c r="AB46" i="2"/>
  <c r="AC46" i="2" s="1"/>
  <c r="F13" i="1"/>
  <c r="D47" i="8"/>
  <c r="K38" i="5"/>
  <c r="I38" i="5"/>
  <c r="Q38" i="5" s="1"/>
  <c r="H38" i="5"/>
  <c r="F38" i="5"/>
  <c r="N38" i="5" s="1"/>
  <c r="E38" i="5"/>
  <c r="D38" i="5"/>
  <c r="K37" i="5"/>
  <c r="I37" i="5"/>
  <c r="Q37" i="5" s="1"/>
  <c r="H37" i="5"/>
  <c r="F37" i="5"/>
  <c r="N37" i="5" s="1"/>
  <c r="E37" i="5"/>
  <c r="D37" i="5"/>
  <c r="K36" i="5"/>
  <c r="I36" i="5"/>
  <c r="Q36" i="5" s="1"/>
  <c r="H36" i="5"/>
  <c r="F36" i="5"/>
  <c r="N36" i="5" s="1"/>
  <c r="E36" i="5"/>
  <c r="D36" i="5"/>
  <c r="K35" i="5"/>
  <c r="I35" i="5"/>
  <c r="Q35" i="5" s="1"/>
  <c r="H35" i="5"/>
  <c r="F35" i="5"/>
  <c r="N35" i="5" s="1"/>
  <c r="E35" i="5"/>
  <c r="D35" i="5"/>
  <c r="K34" i="5"/>
  <c r="I34" i="5"/>
  <c r="Q34" i="5" s="1"/>
  <c r="H34" i="5"/>
  <c r="F34" i="5"/>
  <c r="N34" i="5" s="1"/>
  <c r="E34" i="5"/>
  <c r="D34" i="5"/>
  <c r="K33" i="5"/>
  <c r="I33" i="5"/>
  <c r="H33" i="5"/>
  <c r="F33" i="5"/>
  <c r="E33" i="5"/>
  <c r="D33" i="5"/>
  <c r="I32" i="5"/>
  <c r="H32" i="5"/>
  <c r="E7" i="8"/>
  <c r="F7" i="8" s="1"/>
  <c r="E4" i="8"/>
  <c r="G3" i="8"/>
  <c r="E3" i="8"/>
  <c r="K3" i="8"/>
  <c r="AB9" i="2"/>
  <c r="AC9" i="2" s="1"/>
  <c r="AB10" i="2"/>
  <c r="AC10" i="2" s="1"/>
  <c r="AB11" i="2"/>
  <c r="AC11" i="2" s="1"/>
  <c r="AB14" i="2"/>
  <c r="AC14" i="2" s="1"/>
  <c r="AB15" i="2"/>
  <c r="AC15" i="2" s="1"/>
  <c r="AB19" i="2"/>
  <c r="AC19" i="2" s="1"/>
  <c r="AB20" i="2"/>
  <c r="AC20" i="2" s="1"/>
  <c r="AB33" i="2"/>
  <c r="AC33" i="2" s="1"/>
  <c r="AB26" i="2"/>
  <c r="AC26" i="2" s="1"/>
  <c r="AB27" i="2"/>
  <c r="AC27" i="2" s="1"/>
  <c r="AB28" i="2"/>
  <c r="AC28" i="2" s="1"/>
  <c r="AB36" i="2"/>
  <c r="AC36" i="2" s="1"/>
  <c r="AB12" i="2"/>
  <c r="AC12" i="2" s="1"/>
  <c r="AB13" i="2"/>
  <c r="AC13" i="2" s="1"/>
  <c r="AB16" i="2"/>
  <c r="AC16" i="2" s="1"/>
  <c r="AB17" i="2"/>
  <c r="AC17" i="2" s="1"/>
  <c r="AB18" i="2"/>
  <c r="AC18" i="2" s="1"/>
  <c r="AB32" i="2"/>
  <c r="AC32" i="2" s="1"/>
  <c r="AB21" i="2"/>
  <c r="AC21" i="2" s="1"/>
  <c r="AB22" i="2"/>
  <c r="AC22" i="2" s="1"/>
  <c r="AB37" i="2"/>
  <c r="AC37" i="2" s="1"/>
  <c r="AB24" i="2"/>
  <c r="AC24" i="2" s="1"/>
  <c r="AB25" i="2"/>
  <c r="AC25" i="2" s="1"/>
  <c r="AB29" i="2"/>
  <c r="AC29" i="2" s="1"/>
  <c r="AB30" i="2"/>
  <c r="AC30" i="2" s="1"/>
  <c r="AB31" i="2"/>
  <c r="AC31" i="2" s="1"/>
  <c r="AB34" i="2"/>
  <c r="AC34" i="2" s="1"/>
  <c r="AB39" i="2"/>
  <c r="AC39" i="2" s="1"/>
  <c r="AB40" i="2"/>
  <c r="AC40" i="2" s="1"/>
  <c r="AB41" i="2"/>
  <c r="AC41" i="2" s="1"/>
  <c r="AB42" i="2"/>
  <c r="AC42" i="2" s="1"/>
  <c r="AB35" i="2"/>
  <c r="AC35" i="2" s="1"/>
  <c r="AB38" i="2"/>
  <c r="AC38" i="2" s="1"/>
  <c r="AB23" i="2"/>
  <c r="AC23" i="2" s="1"/>
  <c r="AB43" i="2"/>
  <c r="AC43" i="2" s="1"/>
  <c r="AB44" i="2"/>
  <c r="AC44" i="2" s="1"/>
  <c r="AB49" i="2"/>
  <c r="AC49" i="2" s="1"/>
  <c r="AB59" i="2"/>
  <c r="AC59" i="2" s="1"/>
  <c r="AB50" i="2"/>
  <c r="AC50" i="2" s="1"/>
  <c r="AB62" i="2"/>
  <c r="AC62" i="2" s="1"/>
  <c r="AB47" i="2"/>
  <c r="AC47" i="2" s="1"/>
  <c r="AB51" i="2"/>
  <c r="AC51" i="2" s="1"/>
  <c r="AB60" i="2"/>
  <c r="AC60" i="2" s="1"/>
  <c r="AB63" i="2"/>
  <c r="AC63" i="2" s="1"/>
  <c r="AB64" i="2"/>
  <c r="AC64" i="2" s="1"/>
  <c r="AB69" i="2"/>
  <c r="AC69" i="2" s="1"/>
  <c r="AB65" i="2"/>
  <c r="AC65" i="2" s="1"/>
  <c r="AB67" i="2"/>
  <c r="AC67" i="2" s="1"/>
  <c r="AB68" i="2"/>
  <c r="AC68" i="2" s="1"/>
  <c r="AB70" i="2"/>
  <c r="AC70" i="2" s="1"/>
  <c r="AB71" i="2"/>
  <c r="AC71" i="2" s="1"/>
  <c r="AB72" i="2"/>
  <c r="AC72" i="2" s="1"/>
  <c r="AB73" i="2"/>
  <c r="AC73" i="2" s="1"/>
  <c r="AB74" i="2"/>
  <c r="AC74" i="2" s="1"/>
  <c r="AB76" i="2"/>
  <c r="AC76" i="2" s="1"/>
  <c r="AB77" i="2"/>
  <c r="AC77" i="2" s="1"/>
  <c r="AB78" i="2"/>
  <c r="AC78" i="2" s="1"/>
  <c r="AB61" i="2"/>
  <c r="AC61" i="2" s="1"/>
  <c r="AB52" i="2"/>
  <c r="AC52" i="2" s="1"/>
  <c r="AB48" i="2"/>
  <c r="AC48" i="2" s="1"/>
  <c r="J39" i="5"/>
  <c r="Y2" i="2"/>
  <c r="R6" i="2"/>
  <c r="K6" i="2"/>
  <c r="Q6" i="2"/>
  <c r="P6" i="2"/>
  <c r="O6" i="2"/>
  <c r="N6" i="2"/>
  <c r="M6" i="2"/>
  <c r="L6" i="2"/>
  <c r="U38" i="5"/>
  <c r="U37" i="5"/>
  <c r="U36" i="5"/>
  <c r="U35" i="5"/>
  <c r="U34" i="5"/>
  <c r="U33" i="5"/>
  <c r="X4" i="2"/>
  <c r="W4" i="2"/>
  <c r="V4" i="2"/>
  <c r="U4" i="2"/>
  <c r="U5" i="2"/>
  <c r="D61" i="8" s="1"/>
  <c r="V5" i="2"/>
  <c r="W5" i="2"/>
  <c r="X5" i="2"/>
  <c r="T5" i="2"/>
  <c r="S109" i="2" l="1"/>
  <c r="S105" i="2"/>
  <c r="S108" i="2"/>
  <c r="S104" i="2"/>
  <c r="S14" i="2"/>
  <c r="S111" i="2"/>
  <c r="S107" i="2"/>
  <c r="S103" i="2"/>
  <c r="S110" i="2"/>
  <c r="S106" i="2"/>
  <c r="S45" i="2"/>
  <c r="S48" i="2"/>
  <c r="E107" i="2"/>
  <c r="E110" i="2"/>
  <c r="E106" i="2"/>
  <c r="E109" i="2"/>
  <c r="E105" i="2"/>
  <c r="E104" i="2"/>
  <c r="E108" i="2"/>
  <c r="E111" i="2"/>
  <c r="K7" i="8"/>
  <c r="I7" i="8"/>
  <c r="I3" i="8"/>
  <c r="E6" i="8"/>
  <c r="S79" i="2"/>
  <c r="D51" i="8"/>
  <c r="C51" i="8" s="1"/>
  <c r="C4" i="8"/>
  <c r="S9" i="2"/>
  <c r="S52" i="2"/>
  <c r="O38" i="5"/>
  <c r="S41" i="2"/>
  <c r="S43" i="2"/>
  <c r="S35" i="2"/>
  <c r="S47" i="2"/>
  <c r="S18" i="2"/>
  <c r="D65" i="8"/>
  <c r="C65" i="8" s="1"/>
  <c r="S13" i="2"/>
  <c r="S21" i="2"/>
  <c r="S69" i="2"/>
  <c r="S44" i="2"/>
  <c r="F4" i="8"/>
  <c r="I4" i="8" s="1"/>
  <c r="E10" i="2"/>
  <c r="S31" i="2"/>
  <c r="S26" i="2"/>
  <c r="S83" i="2"/>
  <c r="E9" i="2"/>
  <c r="E11" i="2"/>
  <c r="S19" i="2"/>
  <c r="S17" i="2"/>
  <c r="S49" i="2"/>
  <c r="S36" i="2"/>
  <c r="S82" i="2"/>
  <c r="S32" i="2"/>
  <c r="S25" i="2"/>
  <c r="S71" i="2"/>
  <c r="S85" i="2"/>
  <c r="S20" i="2"/>
  <c r="S67" i="2"/>
  <c r="S40" i="2"/>
  <c r="S68" i="2"/>
  <c r="S16" i="2"/>
  <c r="S76" i="2"/>
  <c r="S33" i="2"/>
  <c r="S27" i="2"/>
  <c r="S81" i="2"/>
  <c r="S78" i="2"/>
  <c r="S100" i="2"/>
  <c r="S77" i="2"/>
  <c r="S30" i="2"/>
  <c r="S37" i="2"/>
  <c r="S73" i="2"/>
  <c r="S70" i="2"/>
  <c r="S50" i="2"/>
  <c r="S74" i="2"/>
  <c r="S28" i="2"/>
  <c r="S84" i="2"/>
  <c r="S24" i="2"/>
  <c r="S10" i="2"/>
  <c r="S12" i="2"/>
  <c r="S11" i="2"/>
  <c r="C3" i="8"/>
  <c r="S80" i="2"/>
  <c r="S72" i="2"/>
  <c r="S34" i="2"/>
  <c r="S59" i="2"/>
  <c r="S63" i="2"/>
  <c r="S15" i="2"/>
  <c r="S22" i="2"/>
  <c r="S64" i="2"/>
  <c r="S65" i="2"/>
  <c r="S29" i="2"/>
  <c r="S61" i="2"/>
  <c r="D58" i="8"/>
  <c r="C54" i="8" s="1"/>
  <c r="E54" i="8" s="1"/>
  <c r="S87" i="2"/>
  <c r="S39" i="2"/>
  <c r="S51" i="2"/>
  <c r="S38" i="2"/>
  <c r="S62" i="2"/>
  <c r="S60" i="2"/>
  <c r="S23" i="2"/>
  <c r="S42" i="2"/>
  <c r="S46" i="2"/>
  <c r="J38" i="5"/>
  <c r="AD38" i="5" s="1"/>
  <c r="G16" i="8"/>
  <c r="X37" i="5"/>
  <c r="X33" i="5"/>
  <c r="E40" i="2"/>
  <c r="V36" i="5"/>
  <c r="V33" i="5"/>
  <c r="AB37" i="5"/>
  <c r="R37" i="5"/>
  <c r="O35" i="5"/>
  <c r="M37" i="5"/>
  <c r="V35" i="5"/>
  <c r="P35" i="5"/>
  <c r="Z36" i="5"/>
  <c r="G39" i="5"/>
  <c r="X35" i="5"/>
  <c r="Z35" i="5"/>
  <c r="P36" i="5"/>
  <c r="E71" i="2"/>
  <c r="M36" i="5"/>
  <c r="X36" i="5"/>
  <c r="Z33" i="5"/>
  <c r="Z34" i="5"/>
  <c r="Z37" i="5"/>
  <c r="Z38" i="5"/>
  <c r="S101" i="2"/>
  <c r="S98" i="2"/>
  <c r="S96" i="2"/>
  <c r="S92" i="2"/>
  <c r="S53" i="2"/>
  <c r="S66" i="2"/>
  <c r="S95" i="2"/>
  <c r="S54" i="2"/>
  <c r="S99" i="2"/>
  <c r="S57" i="2"/>
  <c r="S55" i="2"/>
  <c r="S75" i="2"/>
  <c r="S94" i="2"/>
  <c r="S58" i="2"/>
  <c r="S56" i="2"/>
  <c r="S102" i="2"/>
  <c r="AB35" i="5"/>
  <c r="R35" i="5"/>
  <c r="M34" i="5"/>
  <c r="O34" i="5"/>
  <c r="P37" i="5"/>
  <c r="M35" i="5"/>
  <c r="P33" i="5"/>
  <c r="E21" i="2"/>
  <c r="E83" i="2"/>
  <c r="V34" i="5"/>
  <c r="X34" i="5"/>
  <c r="V38" i="5"/>
  <c r="P38" i="5"/>
  <c r="E33" i="2"/>
  <c r="P34" i="5"/>
  <c r="E27" i="2"/>
  <c r="E62" i="2"/>
  <c r="E51" i="2"/>
  <c r="E64" i="2"/>
  <c r="E85" i="2"/>
  <c r="R38" i="5"/>
  <c r="AB38" i="5"/>
  <c r="M33" i="5"/>
  <c r="O37" i="5"/>
  <c r="O33" i="5"/>
  <c r="V37" i="5"/>
  <c r="S5" i="2"/>
  <c r="N33" i="5"/>
  <c r="E19" i="2"/>
  <c r="E59" i="2"/>
  <c r="E30" i="2"/>
  <c r="E16" i="2"/>
  <c r="E65" i="2"/>
  <c r="E14" i="2"/>
  <c r="E44" i="2"/>
  <c r="E49" i="2"/>
  <c r="E82" i="2"/>
  <c r="E79" i="2"/>
  <c r="E58" i="2"/>
  <c r="E102" i="2"/>
  <c r="E13" i="2"/>
  <c r="E69" i="2"/>
  <c r="E47" i="2"/>
  <c r="E25" i="2"/>
  <c r="E76" i="2"/>
  <c r="E36" i="2"/>
  <c r="E63" i="2"/>
  <c r="L38" i="5"/>
  <c r="E81" i="2"/>
  <c r="E101" i="2"/>
  <c r="E32" i="2"/>
  <c r="E70" i="2"/>
  <c r="E73" i="2"/>
  <c r="E34" i="2"/>
  <c r="E52" i="2"/>
  <c r="E17" i="2"/>
  <c r="E67" i="2"/>
  <c r="E45" i="2"/>
  <c r="E88" i="2"/>
  <c r="E24" i="2"/>
  <c r="E74" i="2"/>
  <c r="E78" i="2"/>
  <c r="E42" i="2"/>
  <c r="E15" i="2"/>
  <c r="E22" i="2"/>
  <c r="E72" i="2"/>
  <c r="E84" i="2"/>
  <c r="E31" i="2"/>
  <c r="E61" i="2"/>
  <c r="E43" i="2"/>
  <c r="E18" i="2"/>
  <c r="E29" i="2"/>
  <c r="E77" i="2"/>
  <c r="E48" i="2"/>
  <c r="E80" i="2"/>
  <c r="E41" i="2"/>
  <c r="E20" i="2"/>
  <c r="E50" i="2"/>
  <c r="E38" i="2"/>
  <c r="E39" i="2"/>
  <c r="E26" i="2"/>
  <c r="E46" i="2"/>
  <c r="E87" i="2"/>
  <c r="E23" i="2"/>
  <c r="E12" i="2"/>
  <c r="E28" i="2"/>
  <c r="E60" i="2"/>
  <c r="E68" i="2"/>
  <c r="E35" i="2"/>
  <c r="E37" i="2"/>
  <c r="E86" i="2"/>
  <c r="D39" i="5"/>
  <c r="F39" i="5"/>
  <c r="R34" i="5"/>
  <c r="AB34" i="5"/>
  <c r="J37" i="5"/>
  <c r="AD37" i="5" s="1"/>
  <c r="E56" i="2"/>
  <c r="I39" i="5"/>
  <c r="G21" i="8"/>
  <c r="Y5" i="2"/>
  <c r="H39" i="5"/>
  <c r="K39" i="5"/>
  <c r="E53" i="2"/>
  <c r="C21" i="8"/>
  <c r="C31" i="8" s="1"/>
  <c r="M30" i="10" s="1"/>
  <c r="E91" i="2"/>
  <c r="E92" i="2"/>
  <c r="S88" i="2"/>
  <c r="E39" i="5"/>
  <c r="E100" i="2"/>
  <c r="D20" i="8"/>
  <c r="D68" i="8" s="1"/>
  <c r="C12" i="8"/>
  <c r="C39" i="8"/>
  <c r="E98" i="2"/>
  <c r="J35" i="5"/>
  <c r="AD35" i="5" s="1"/>
  <c r="R36" i="5"/>
  <c r="AB36" i="5"/>
  <c r="J33" i="5"/>
  <c r="AD33" i="5" s="1"/>
  <c r="J34" i="5"/>
  <c r="AD34" i="5" s="1"/>
  <c r="J36" i="5"/>
  <c r="AD36" i="5" s="1"/>
  <c r="E75" i="2"/>
  <c r="S91" i="2"/>
  <c r="E93" i="2"/>
  <c r="E99" i="2"/>
  <c r="S90" i="2"/>
  <c r="F22" i="8"/>
  <c r="E97" i="2"/>
  <c r="E66" i="2"/>
  <c r="S89" i="2"/>
  <c r="E55" i="2"/>
  <c r="Q33" i="5"/>
  <c r="E54" i="2"/>
  <c r="E90" i="2"/>
  <c r="E103" i="2"/>
  <c r="E89" i="2"/>
  <c r="O36" i="5"/>
  <c r="E96" i="2"/>
  <c r="E57" i="2"/>
  <c r="E95" i="2"/>
  <c r="S93" i="2"/>
  <c r="D32" i="8"/>
  <c r="Q29" i="10" s="1"/>
  <c r="E94" i="2"/>
  <c r="S97" i="2"/>
  <c r="D49" i="8"/>
  <c r="D48" i="8"/>
  <c r="J4" i="8"/>
  <c r="K4" i="8"/>
  <c r="C29" i="8"/>
  <c r="I30" i="10" s="1"/>
  <c r="E22" i="8"/>
  <c r="D63" i="8"/>
  <c r="D62" i="8"/>
  <c r="C27" i="8"/>
  <c r="O30" i="10" s="1"/>
  <c r="C32" i="8"/>
  <c r="Q30" i="10" s="1"/>
  <c r="D29" i="8"/>
  <c r="C24" i="8"/>
  <c r="G30" i="10" s="1"/>
  <c r="F18" i="8"/>
  <c r="E16" i="8"/>
  <c r="D31" i="8"/>
  <c r="D17" i="8"/>
  <c r="H4" i="8" l="1"/>
  <c r="C47" i="8"/>
  <c r="E47" i="8" s="1"/>
  <c r="C5" i="8"/>
  <c r="C6" i="8" s="1"/>
  <c r="J7" i="8"/>
  <c r="E5" i="8"/>
  <c r="K6" i="8"/>
  <c r="C48" i="8"/>
  <c r="E48" i="8" s="1"/>
  <c r="F6" i="8"/>
  <c r="I6" i="8" s="1"/>
  <c r="H7" i="8" s="1"/>
  <c r="G7" i="8" s="1"/>
  <c r="D50" i="8"/>
  <c r="C50" i="8" s="1"/>
  <c r="E50" i="8" s="1"/>
  <c r="C61" i="8"/>
  <c r="E61" i="8" s="1"/>
  <c r="C62" i="8"/>
  <c r="E62" i="8" s="1"/>
  <c r="D72" i="8"/>
  <c r="C72" i="8" s="1"/>
  <c r="C58" i="8"/>
  <c r="O39" i="5"/>
  <c r="X38" i="5"/>
  <c r="M38" i="5"/>
  <c r="E21" i="8"/>
  <c r="C26" i="8"/>
  <c r="C25" i="8" s="1"/>
  <c r="D56" i="8"/>
  <c r="D57" i="8" s="1"/>
  <c r="C57" i="8" s="1"/>
  <c r="E57" i="8" s="1"/>
  <c r="D55" i="8"/>
  <c r="C55" i="8" s="1"/>
  <c r="E55" i="8" s="1"/>
  <c r="C20" i="8"/>
  <c r="E20" i="8" s="1"/>
  <c r="G22" i="8"/>
  <c r="C40" i="8"/>
  <c r="C41" i="8" s="1"/>
  <c r="F20" i="8"/>
  <c r="G20" i="8" s="1"/>
  <c r="AB33" i="5"/>
  <c r="R33" i="5"/>
  <c r="C49" i="8"/>
  <c r="E49" i="8" s="1"/>
  <c r="U30" i="10"/>
  <c r="F31" i="8"/>
  <c r="F29" i="8"/>
  <c r="F32" i="8"/>
  <c r="F17" i="8"/>
  <c r="C63" i="8"/>
  <c r="E63" i="8" s="1"/>
  <c r="D64" i="8"/>
  <c r="C64" i="8" s="1"/>
  <c r="E64" i="8" s="1"/>
  <c r="E29" i="8"/>
  <c r="I29" i="10"/>
  <c r="C30" i="8"/>
  <c r="D27" i="8"/>
  <c r="D24" i="8"/>
  <c r="D26" i="8"/>
  <c r="D19" i="8"/>
  <c r="E31" i="8"/>
  <c r="D30" i="8"/>
  <c r="M29" i="10"/>
  <c r="U29" i="10" s="1"/>
  <c r="E32" i="8"/>
  <c r="G4" i="8"/>
  <c r="K5" i="8" l="1"/>
  <c r="J6" i="8"/>
  <c r="F5" i="8"/>
  <c r="I5" i="8" s="1"/>
  <c r="J5" i="8"/>
  <c r="C68" i="8"/>
  <c r="E68" i="8" s="1"/>
  <c r="K30" i="10"/>
  <c r="S30" i="10" s="1"/>
  <c r="C56" i="8"/>
  <c r="E56" i="8" s="1"/>
  <c r="D70" i="8"/>
  <c r="C70" i="8" s="1"/>
  <c r="E70" i="8" s="1"/>
  <c r="D69" i="8"/>
  <c r="C69" i="8" s="1"/>
  <c r="E69" i="8" s="1"/>
  <c r="E30" i="8"/>
  <c r="C8" i="8"/>
  <c r="F26" i="8"/>
  <c r="F27" i="8"/>
  <c r="C42" i="8"/>
  <c r="F19" i="8"/>
  <c r="F24" i="8"/>
  <c r="G32" i="8"/>
  <c r="Q32" i="10"/>
  <c r="G29" i="10"/>
  <c r="E24" i="8"/>
  <c r="G31" i="10" s="1"/>
  <c r="I32" i="10"/>
  <c r="G29" i="8"/>
  <c r="E26" i="8"/>
  <c r="K31" i="10" s="1"/>
  <c r="D25" i="8"/>
  <c r="E25" i="8" s="1"/>
  <c r="S31" i="10" s="1"/>
  <c r="K29" i="10"/>
  <c r="E27" i="8"/>
  <c r="O31" i="10" s="1"/>
  <c r="O29" i="10"/>
  <c r="F30" i="8"/>
  <c r="G30" i="8" s="1"/>
  <c r="M32" i="10"/>
  <c r="G31" i="8"/>
  <c r="D106" i="2" l="1"/>
  <c r="C106" i="2" s="1"/>
  <c r="D110" i="2"/>
  <c r="C110" i="2" s="1"/>
  <c r="D107" i="2"/>
  <c r="C107" i="2" s="1"/>
  <c r="D111" i="2"/>
  <c r="C111" i="2" s="1"/>
  <c r="D108" i="2"/>
  <c r="C108" i="2" s="1"/>
  <c r="D105" i="2"/>
  <c r="C105" i="2" s="1"/>
  <c r="D109" i="2"/>
  <c r="C109" i="2" s="1"/>
  <c r="H6" i="8"/>
  <c r="G6" i="8" s="1"/>
  <c r="H5" i="8"/>
  <c r="D71" i="8"/>
  <c r="C71" i="8" s="1"/>
  <c r="E71" i="8" s="1"/>
  <c r="U32" i="10"/>
  <c r="G24" i="8"/>
  <c r="G33" i="10" s="1"/>
  <c r="G32" i="10"/>
  <c r="C36" i="8"/>
  <c r="C35" i="8"/>
  <c r="O32" i="10"/>
  <c r="G27" i="8"/>
  <c r="O33" i="10" s="1"/>
  <c r="K32" i="10"/>
  <c r="F25" i="8"/>
  <c r="G25" i="8" s="1"/>
  <c r="S33" i="10" s="1"/>
  <c r="G26" i="8"/>
  <c r="K33" i="10" s="1"/>
  <c r="S29" i="10"/>
  <c r="D102" i="2"/>
  <c r="C102" i="2" s="1"/>
  <c r="D93" i="2"/>
  <c r="C93" i="2" s="1"/>
  <c r="D45" i="2"/>
  <c r="C45" i="2" s="1"/>
  <c r="D78" i="2"/>
  <c r="C78" i="2" s="1"/>
  <c r="D40" i="2"/>
  <c r="C40" i="2" s="1"/>
  <c r="D64" i="2"/>
  <c r="C64" i="2" s="1"/>
  <c r="D30" i="2"/>
  <c r="C30" i="2" s="1"/>
  <c r="D23" i="2"/>
  <c r="C23" i="2" s="1"/>
  <c r="D47" i="2"/>
  <c r="C47" i="2" s="1"/>
  <c r="D43" i="2"/>
  <c r="C43" i="2" s="1"/>
  <c r="D10" i="2"/>
  <c r="C10" i="2" s="1"/>
  <c r="D18" i="2"/>
  <c r="C18" i="2" s="1"/>
  <c r="D17" i="2"/>
  <c r="C17" i="2" s="1"/>
  <c r="D28" i="2"/>
  <c r="C28" i="2" s="1"/>
  <c r="D19" i="2"/>
  <c r="C19" i="2" s="1"/>
  <c r="D15" i="2"/>
  <c r="C15" i="2" s="1"/>
  <c r="D14" i="2"/>
  <c r="C14" i="2" s="1"/>
  <c r="D61" i="2"/>
  <c r="C61" i="2" s="1"/>
  <c r="D20" i="2"/>
  <c r="C20" i="2" s="1"/>
  <c r="D35" i="2"/>
  <c r="C35" i="2" s="1"/>
  <c r="D90" i="2"/>
  <c r="C90" i="2" s="1"/>
  <c r="D84" i="2"/>
  <c r="C84" i="2" s="1"/>
  <c r="D66" i="2"/>
  <c r="C66" i="2" s="1"/>
  <c r="D96" i="2"/>
  <c r="C96" i="2" s="1"/>
  <c r="D55" i="2"/>
  <c r="C55" i="2" s="1"/>
  <c r="D89" i="2"/>
  <c r="C89" i="2" s="1"/>
  <c r="D83" i="2"/>
  <c r="C83" i="2" s="1"/>
  <c r="D88" i="2"/>
  <c r="C88" i="2" s="1"/>
  <c r="D25" i="2"/>
  <c r="C25" i="2" s="1"/>
  <c r="D33" i="2"/>
  <c r="C33" i="2" s="1"/>
  <c r="D24" i="2"/>
  <c r="C24" i="2" s="1"/>
  <c r="D16" i="2"/>
  <c r="C16" i="2" s="1"/>
  <c r="D85" i="2"/>
  <c r="C85" i="2" s="1"/>
  <c r="D94" i="2"/>
  <c r="C94" i="2" s="1"/>
  <c r="D58" i="2"/>
  <c r="C58" i="2" s="1"/>
  <c r="D91" i="2"/>
  <c r="C91" i="2" s="1"/>
  <c r="D46" i="2"/>
  <c r="C46" i="2" s="1"/>
  <c r="D12" i="2"/>
  <c r="C12" i="2" s="1"/>
  <c r="D77" i="2"/>
  <c r="C77" i="2" s="1"/>
  <c r="D48" i="2"/>
  <c r="C48" i="2" s="1"/>
  <c r="D63" i="2"/>
  <c r="C63" i="2" s="1"/>
  <c r="D21" i="2"/>
  <c r="C21" i="2" s="1"/>
  <c r="D26" i="2"/>
  <c r="C26" i="2" s="1"/>
  <c r="D11" i="2"/>
  <c r="C11" i="2" s="1"/>
  <c r="D32" i="2"/>
  <c r="C32" i="2" s="1"/>
  <c r="D9" i="2"/>
  <c r="C9" i="2" s="1"/>
  <c r="D52" i="2"/>
  <c r="C52" i="2" s="1"/>
  <c r="D74" i="2"/>
  <c r="C74" i="2" s="1"/>
  <c r="D73" i="2"/>
  <c r="C73" i="2" s="1"/>
  <c r="D72" i="2"/>
  <c r="C72" i="2" s="1"/>
  <c r="D65" i="2"/>
  <c r="C65" i="2" s="1"/>
  <c r="D51" i="2"/>
  <c r="C51" i="2" s="1"/>
  <c r="D38" i="2"/>
  <c r="C38" i="2" s="1"/>
  <c r="D103" i="2"/>
  <c r="C103" i="2" s="1"/>
  <c r="D100" i="2"/>
  <c r="C100" i="2" s="1"/>
  <c r="D82" i="2"/>
  <c r="C82" i="2" s="1"/>
  <c r="D87" i="2"/>
  <c r="C87" i="2" s="1"/>
  <c r="D27" i="2"/>
  <c r="C27" i="2" s="1"/>
  <c r="D50" i="2"/>
  <c r="C50" i="2" s="1"/>
  <c r="D34" i="2"/>
  <c r="C34" i="2" s="1"/>
  <c r="D99" i="2"/>
  <c r="C99" i="2" s="1"/>
  <c r="D56" i="2"/>
  <c r="C56" i="2" s="1"/>
  <c r="D98" i="2"/>
  <c r="C98" i="2" s="1"/>
  <c r="D53" i="2"/>
  <c r="C53" i="2" s="1"/>
  <c r="D39" i="2"/>
  <c r="C39" i="2" s="1"/>
  <c r="D36" i="2"/>
  <c r="C36" i="2" s="1"/>
  <c r="D29" i="2"/>
  <c r="C29" i="2" s="1"/>
  <c r="D76" i="2"/>
  <c r="C76" i="2" s="1"/>
  <c r="D41" i="2"/>
  <c r="C41" i="2" s="1"/>
  <c r="D62" i="2"/>
  <c r="C62" i="2" s="1"/>
  <c r="D13" i="2"/>
  <c r="C13" i="2" s="1"/>
  <c r="D68" i="2"/>
  <c r="C68" i="2" s="1"/>
  <c r="D67" i="2"/>
  <c r="C67" i="2" s="1"/>
  <c r="D60" i="2"/>
  <c r="C60" i="2" s="1"/>
  <c r="D59" i="2"/>
  <c r="C59" i="2" s="1"/>
  <c r="D49" i="2"/>
  <c r="C49" i="2" s="1"/>
  <c r="D44" i="2"/>
  <c r="C44" i="2" s="1"/>
  <c r="D42" i="2"/>
  <c r="C42" i="2" s="1"/>
  <c r="D31" i="2"/>
  <c r="C31" i="2" s="1"/>
  <c r="D70" i="2"/>
  <c r="C70" i="2" s="1"/>
  <c r="D22" i="2"/>
  <c r="C22" i="2" s="1"/>
  <c r="D79" i="2"/>
  <c r="C79" i="2" s="1"/>
  <c r="D95" i="2"/>
  <c r="C95" i="2" s="1"/>
  <c r="D104" i="2"/>
  <c r="C104" i="2" s="1"/>
  <c r="D97" i="2"/>
  <c r="C97" i="2" s="1"/>
  <c r="D81" i="2"/>
  <c r="C81" i="2" s="1"/>
  <c r="D86" i="2"/>
  <c r="C86" i="2" s="1"/>
  <c r="D80" i="2"/>
  <c r="C80" i="2" s="1"/>
  <c r="D71" i="2"/>
  <c r="C71" i="2" s="1"/>
  <c r="D69" i="2"/>
  <c r="C69" i="2" s="1"/>
  <c r="D37" i="2"/>
  <c r="C37" i="2" s="1"/>
  <c r="D75" i="2"/>
  <c r="C75" i="2" s="1"/>
  <c r="D57" i="2"/>
  <c r="C57" i="2" s="1"/>
  <c r="D54" i="2"/>
  <c r="C54" i="2" s="1"/>
  <c r="D92" i="2"/>
  <c r="C92" i="2" s="1"/>
  <c r="D101" i="2"/>
  <c r="C101" i="2" s="1"/>
  <c r="G5" i="8" l="1"/>
  <c r="H8" i="8"/>
  <c r="S7" i="10"/>
  <c r="S3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I12" authorId="0" shapeId="0" xr:uid="{51B04755-3D61-4217-ABA4-316ADEF6CCBD}">
      <text>
        <r>
          <rPr>
            <b/>
            <sz val="9"/>
            <color indexed="81"/>
            <rFont val="Tw Cen MT"/>
            <family val="2"/>
          </rPr>
          <t>Aswini Bajaj:</t>
        </r>
        <r>
          <rPr>
            <sz val="9"/>
            <color indexed="81"/>
            <rFont val="Tw Cen MT"/>
            <family val="2"/>
          </rPr>
          <t xml:space="preserve">
You can change this to 0. However we would recommend you to keep atleast 3-4 days for any delays that might occur.</t>
        </r>
      </text>
    </comment>
    <comment ref="C17" authorId="0" shapeId="0" xr:uid="{C41CE166-112C-49F1-9FB4-FADC6A8D76B6}">
      <text>
        <r>
          <rPr>
            <b/>
            <sz val="9"/>
            <color indexed="81"/>
            <rFont val="Tahoma"/>
            <family val="2"/>
          </rPr>
          <t xml:space="preserve">Aswini Bajaj:
</t>
        </r>
        <r>
          <rPr>
            <sz val="9"/>
            <color indexed="81"/>
            <rFont val="Tahoma"/>
            <family val="2"/>
          </rPr>
          <t>This denotes what you have actually completed.</t>
        </r>
      </text>
    </comment>
    <comment ref="C18" authorId="0" shapeId="0" xr:uid="{D23E324E-D7E6-42FE-8D35-327546EE10A3}">
      <text>
        <r>
          <rPr>
            <b/>
            <sz val="9"/>
            <color indexed="81"/>
            <rFont val="Tahoma"/>
            <family val="2"/>
          </rPr>
          <t xml:space="preserve">Aswini Bajaj:
</t>
        </r>
        <r>
          <rPr>
            <sz val="9"/>
            <color indexed="81"/>
            <rFont val="Tahoma"/>
            <family val="2"/>
          </rPr>
          <t>This denotes the extra chapters/hours that you have completed, which is over and above the expected chapters/hours according to this tracker.</t>
        </r>
      </text>
    </comment>
    <comment ref="C21" authorId="0" shapeId="0" xr:uid="{661F63CD-508D-4D1B-8162-31C93B6F8E3F}">
      <text>
        <r>
          <rPr>
            <b/>
            <sz val="9"/>
            <color indexed="81"/>
            <rFont val="Tahoma"/>
            <family val="2"/>
          </rPr>
          <t xml:space="preserve">Aswini Bajaj:
</t>
        </r>
        <r>
          <rPr>
            <sz val="9"/>
            <color indexed="81"/>
            <rFont val="Tahoma"/>
            <family val="2"/>
          </rPr>
          <t>This denotes the chapters and hours that is left for you to be done in the coming days according to the tracker.</t>
        </r>
      </text>
    </comment>
    <comment ref="C22" authorId="0" shapeId="0" xr:uid="{0A7973C2-A62B-494F-A12F-F507F1E70D27}">
      <text>
        <r>
          <rPr>
            <b/>
            <sz val="9"/>
            <color indexed="81"/>
            <rFont val="Tahoma"/>
            <family val="2"/>
          </rPr>
          <t xml:space="preserve">Aswini Bajaj:
</t>
        </r>
        <r>
          <rPr>
            <sz val="9"/>
            <color indexed="81"/>
            <rFont val="Tahoma"/>
            <family val="2"/>
          </rPr>
          <t>This denotes the extra chapters/hours that you were supposed to complete by today, but you have not done according to the tracker.</t>
        </r>
      </text>
    </comment>
    <comment ref="D30" authorId="0" shapeId="0" xr:uid="{95ADC4EA-2C6C-4AFC-9188-B76FE923C51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D31" authorId="0" shapeId="0" xr:uid="{7E50F2FF-1B6A-423E-8C18-E1731E67055C}">
      <text>
        <r>
          <rPr>
            <b/>
            <sz val="9"/>
            <color indexed="81"/>
            <rFont val="Tw Cen MT"/>
            <family val="2"/>
          </rPr>
          <t xml:space="preserve">Aswini Bajaj:
</t>
        </r>
        <r>
          <rPr>
            <sz val="9"/>
            <color indexed="81"/>
            <rFont val="Tw Cen MT"/>
            <family val="2"/>
          </rPr>
          <t>This indicates the deviation from the expected values.</t>
        </r>
        <r>
          <rPr>
            <sz val="9"/>
            <color indexed="81"/>
            <rFont val="Tahoma"/>
            <family val="2"/>
          </rPr>
          <t xml:space="preserve">
</t>
        </r>
      </text>
    </comment>
    <comment ref="D32" authorId="0" shapeId="0" xr:uid="{10A5631A-D0A9-4191-A83E-61E3149221BD}">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C11" authorId="0" shapeId="0" xr:uid="{0E062965-7B6A-46E6-9FC6-470E4171B9E6}">
      <text>
        <r>
          <rPr>
            <b/>
            <sz val="9"/>
            <color indexed="81"/>
            <rFont val="Tw Cen MT"/>
            <family val="2"/>
          </rPr>
          <t xml:space="preserve">Aswini Bajaj:
</t>
        </r>
        <r>
          <rPr>
            <sz val="9"/>
            <color indexed="81"/>
            <rFont val="Tw Cen MT"/>
            <family val="2"/>
          </rPr>
          <t xml:space="preserve">This is calculated by subracting the revision and buffer days from the total no. of days left for the exam.
</t>
        </r>
      </text>
    </comment>
    <comment ref="C12" authorId="0" shapeId="0" xr:uid="{7C383E86-EBF3-4C36-9479-C3F1F4D073A6}">
      <text>
        <r>
          <rPr>
            <b/>
            <sz val="9"/>
            <color indexed="81"/>
            <rFont val="Tw Cen MT"/>
            <family val="2"/>
          </rPr>
          <t xml:space="preserve">Aswini Bajaj:
</t>
        </r>
        <r>
          <rPr>
            <sz val="9"/>
            <color indexed="81"/>
            <rFont val="Tw Cen MT"/>
            <family val="2"/>
          </rPr>
          <t>Check the analysis below and if you think it is not sufficient, you might have to increase your daily study hours.</t>
        </r>
      </text>
    </comment>
    <comment ref="C15" authorId="0" shapeId="0" xr:uid="{ECF1682E-2420-4472-9547-9FD37160379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E15" authorId="0" shapeId="0" xr:uid="{9629F8EB-1D1C-433A-A695-1A0EDB07D541}">
      <text>
        <r>
          <rPr>
            <b/>
            <sz val="9"/>
            <color indexed="81"/>
            <rFont val="Tahoma"/>
            <family val="2"/>
          </rPr>
          <t xml:space="preserve">Aswini Bajaj:
</t>
        </r>
        <r>
          <rPr>
            <sz val="9"/>
            <color indexed="81"/>
            <rFont val="Tahoma"/>
            <family val="2"/>
          </rPr>
          <t xml:space="preserve">This indicates the deviation from the expected values.
</t>
        </r>
      </text>
    </comment>
    <comment ref="F15" authorId="0" shapeId="0" xr:uid="{5F5AA9C3-9028-4B3D-8292-0F5A7B2B03F2}">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 ref="B19" authorId="0" shapeId="0" xr:uid="{0609FC04-07FE-4D64-A85F-7BD0489447B8}">
      <text>
        <r>
          <rPr>
            <b/>
            <sz val="9"/>
            <color indexed="81"/>
            <rFont val="Tahoma"/>
            <family val="2"/>
          </rPr>
          <t xml:space="preserve">Aswini Bajaj:
</t>
        </r>
        <r>
          <rPr>
            <sz val="9"/>
            <color indexed="81"/>
            <rFont val="Tahoma"/>
            <family val="2"/>
          </rPr>
          <t xml:space="preserve">This is based on the no. of hours you had planned to study on weekday and weekends.
</t>
        </r>
      </text>
    </comment>
    <comment ref="B22" authorId="0" shapeId="0" xr:uid="{4DD4E19A-A102-493F-8B07-8BD5CAE17AF9}">
      <text>
        <r>
          <rPr>
            <b/>
            <sz val="9"/>
            <color indexed="81"/>
            <rFont val="Tahoma"/>
            <family val="2"/>
          </rPr>
          <t xml:space="preserve">Aswini Bajaj:
</t>
        </r>
        <r>
          <rPr>
            <sz val="9"/>
            <color indexed="81"/>
            <rFont val="Tahoma"/>
            <family val="2"/>
          </rPr>
          <t xml:space="preserve">This is based on the no. of hours you needed for self study and practice per chapter
</t>
        </r>
      </text>
    </comment>
    <comment ref="B28" authorId="0" shapeId="0" xr:uid="{38A0FA9C-3E21-478E-B04F-4514B748D001}">
      <text>
        <r>
          <rPr>
            <b/>
            <sz val="9"/>
            <color indexed="81"/>
            <rFont val="Tw Cen MT"/>
            <family val="2"/>
          </rPr>
          <t xml:space="preserve">Aswini Bajaj:
</t>
        </r>
        <r>
          <rPr>
            <sz val="9"/>
            <color indexed="81"/>
            <rFont val="Tw Cen MT"/>
            <family val="2"/>
          </rPr>
          <t>This is based on the weighted average [(3*5)+(8*2)] of the total no. of hours you can study on weekday and weekends.</t>
        </r>
      </text>
    </comment>
  </commentList>
</comments>
</file>

<file path=xl/sharedStrings.xml><?xml version="1.0" encoding="utf-8"?>
<sst xmlns="http://schemas.openxmlformats.org/spreadsheetml/2006/main" count="1084" uniqueCount="278">
  <si>
    <t>Candidate Name:</t>
  </si>
  <si>
    <t>Date of Exam:</t>
  </si>
  <si>
    <t>Date of Beginning Preparation:</t>
  </si>
  <si>
    <t>Subject</t>
  </si>
  <si>
    <t>Reading</t>
  </si>
  <si>
    <t>Topic</t>
  </si>
  <si>
    <t>U</t>
  </si>
  <si>
    <t>Total</t>
  </si>
  <si>
    <t>Performance Review</t>
  </si>
  <si>
    <t>Total Chapters</t>
  </si>
  <si>
    <t>Order of Study</t>
  </si>
  <si>
    <t>Done</t>
  </si>
  <si>
    <t>Undone</t>
  </si>
  <si>
    <t>Syllubus(D)</t>
  </si>
  <si>
    <t>Syllubus(T)</t>
  </si>
  <si>
    <t>Practice(D)</t>
  </si>
  <si>
    <t>Practice(T)</t>
  </si>
  <si>
    <t>Practice</t>
  </si>
  <si>
    <t>Done (P)</t>
  </si>
  <si>
    <t>Undone(P)</t>
  </si>
  <si>
    <t>Undone(S)</t>
  </si>
  <si>
    <t>Lectures</t>
  </si>
  <si>
    <t>Self Study</t>
  </si>
  <si>
    <t>Revision</t>
  </si>
  <si>
    <t>Cumulative (%)</t>
  </si>
  <si>
    <t>Heading</t>
  </si>
  <si>
    <t>Particulars</t>
  </si>
  <si>
    <t>Instructions</t>
  </si>
  <si>
    <t>Duration (hh:mm)</t>
  </si>
  <si>
    <t>Total Duration</t>
  </si>
  <si>
    <t>Completed</t>
  </si>
  <si>
    <t>Multiple chapters have been categorized under different subjects. It is important to understand the groupings as exam question weightages and scores are provided on a subject wise basis. You cannot leave any subject.</t>
  </si>
  <si>
    <t>You need to go through the chapter yourself to understand and learn the concepts (not mug up). You will have to refer to my notes/ Schweser/ notes depending on the lecture. This includes solving questions at the end of the chapter from Schweser. The details on preparation and studying have been covered in the “How to Study and Practice’ lecture.</t>
  </si>
  <si>
    <t>You need to do a very thorough revision of the entire curriculum. Attend the lecture ‘How to Revise’ before beginning your revision. It is not mandatory to watch revision lectures for each chapter. Please refer to the mentioned lecture to know how to revise.</t>
  </si>
  <si>
    <t>Lectures Completed (hh:mm)</t>
  </si>
  <si>
    <t>Total no. of days left for the exam</t>
  </si>
  <si>
    <t>Expected</t>
  </si>
  <si>
    <t>Actual</t>
  </si>
  <si>
    <t>Self Study Done</t>
  </si>
  <si>
    <t>From Today Till Revision</t>
  </si>
  <si>
    <t>Target</t>
  </si>
  <si>
    <t>From Beginning Till Date</t>
  </si>
  <si>
    <t>Total hours available for preparation according to your daily study hours</t>
  </si>
  <si>
    <t>Input Sheet</t>
  </si>
  <si>
    <t>Total Number of Chapters</t>
  </si>
  <si>
    <t>LABEL</t>
  </si>
  <si>
    <t>YEAR</t>
  </si>
  <si>
    <t>%</t>
  </si>
  <si>
    <t>Difference</t>
  </si>
  <si>
    <t>No. of days</t>
  </si>
  <si>
    <t>Diff %</t>
  </si>
  <si>
    <t>Cum. Diff</t>
  </si>
  <si>
    <t>No. of days remaining for lectures and self study</t>
  </si>
  <si>
    <t>lectures</t>
  </si>
  <si>
    <t xml:space="preserve">Total </t>
  </si>
  <si>
    <t>Variance</t>
  </si>
  <si>
    <t>Weekdays</t>
  </si>
  <si>
    <t>Weekends</t>
  </si>
  <si>
    <t>Total Hours left</t>
  </si>
  <si>
    <t>Weekly hours</t>
  </si>
  <si>
    <t>Expected hours of study</t>
  </si>
  <si>
    <t>Difficulty Level</t>
  </si>
  <si>
    <t>Confusing</t>
  </si>
  <si>
    <t>Level of Practice to be done</t>
  </si>
  <si>
    <t>No. of LOS</t>
  </si>
  <si>
    <t xml:space="preserve">Refers to the chapter number as per the current year curriculum. </t>
  </si>
  <si>
    <t>Total Planned Hours of Study</t>
  </si>
  <si>
    <t>Total Actual Hours of Study (A+B)</t>
  </si>
  <si>
    <t>Weekly Analysis</t>
  </si>
  <si>
    <t>Daily Analysis</t>
  </si>
  <si>
    <t>-Lecture Hours (A)</t>
  </si>
  <si>
    <t>Hours of Study (A+B)</t>
  </si>
  <si>
    <t>Total Number of Weeks</t>
  </si>
  <si>
    <t>Total Number of Days</t>
  </si>
  <si>
    <t>-Self Study and Practice Hours (B)</t>
  </si>
  <si>
    <t>Number of Chapters</t>
  </si>
  <si>
    <r>
      <t xml:space="preserve">On a scale of </t>
    </r>
    <r>
      <rPr>
        <b/>
        <sz val="11"/>
        <color theme="1"/>
        <rFont val="Tw Cen MT"/>
        <family val="2"/>
      </rPr>
      <t>1(Least) to 5(Very)</t>
    </r>
    <r>
      <rPr>
        <sz val="11"/>
        <color theme="1"/>
        <rFont val="Tw Cen MT"/>
        <family val="2"/>
      </rPr>
      <t xml:space="preserve"> have highlighted the importance level of the same, '3' being an average/normal chapter. This is just an indication and selective studying is not at all encouraged. The importance level of a chapter could be because of a high probability of testability, or because of dependence of another chapter or the next level on this particular chapter. The questions may turn up from unexpected or seemingly unimportant areas. Please do not misconstrue or exaggerate the meaning of the same.</t>
    </r>
  </si>
  <si>
    <r>
      <t xml:space="preserve">On a scale of </t>
    </r>
    <r>
      <rPr>
        <b/>
        <sz val="11"/>
        <color theme="1"/>
        <rFont val="Tw Cen MT"/>
        <family val="2"/>
      </rPr>
      <t>1(easy) to 5(Difficult)</t>
    </r>
    <r>
      <rPr>
        <sz val="11"/>
        <color theme="1"/>
        <rFont val="Tw Cen MT"/>
        <family val="2"/>
      </rPr>
      <t>, is very subjective. Irrespective, you need to attend the lectures with a very firm and focused mind, because questions could be from anywhere and confusing questions could turn up from unexpected areas</t>
    </r>
  </si>
  <si>
    <r>
      <t>Refers to the chapter name. The same has been highlighted in two shades to indicate in case of any changes compared to the previous year curriculum (</t>
    </r>
    <r>
      <rPr>
        <b/>
        <sz val="11"/>
        <color theme="1"/>
        <rFont val="Tw Cen MT"/>
        <family val="2"/>
      </rPr>
      <t>Change: Yellow</t>
    </r>
    <r>
      <rPr>
        <sz val="11"/>
        <color theme="1"/>
        <rFont val="Tw Cen MT"/>
        <family val="2"/>
      </rPr>
      <t xml:space="preserve">) or in case it has been added for the first time to the curriculum </t>
    </r>
    <r>
      <rPr>
        <b/>
        <sz val="11"/>
        <color theme="1"/>
        <rFont val="Tw Cen MT"/>
        <family val="2"/>
      </rPr>
      <t>(New: Orange</t>
    </r>
    <r>
      <rPr>
        <sz val="11"/>
        <color theme="1"/>
        <rFont val="Tw Cen MT"/>
        <family val="2"/>
      </rPr>
      <t>).</t>
    </r>
  </si>
  <si>
    <r>
      <t xml:space="preserve">On a scale of </t>
    </r>
    <r>
      <rPr>
        <b/>
        <sz val="11"/>
        <color theme="1"/>
        <rFont val="Tw Cen MT"/>
        <family val="2"/>
      </rPr>
      <t>1(Least) to 5(Very)</t>
    </r>
    <r>
      <rPr>
        <sz val="11"/>
        <color theme="1"/>
        <rFont val="Tw Cen MT"/>
        <family val="2"/>
      </rPr>
      <t xml:space="preserve"> have highlighted the level of confusion, '3' being an average chapter. This is done to make sure that you understand that you need to concentrate and the chapters in which you are prone to make silly errors, and often one formula or concept connects with the following one and if you are distracted or did not learn the first one well, you will end up building a weak foundation for the forthcoming concepts and formula. FOCUS!
Also, the level of confusion could be high due to the kind of questions tested, although the reading may be fairly straightforward.</t>
    </r>
  </si>
  <si>
    <r>
      <t xml:space="preserve">This gives a </t>
    </r>
    <r>
      <rPr>
        <b/>
        <sz val="11"/>
        <color theme="1"/>
        <rFont val="Tw Cen MT"/>
        <family val="2"/>
      </rPr>
      <t>rough idea about the duration for each chapter</t>
    </r>
    <r>
      <rPr>
        <sz val="11"/>
        <color theme="1"/>
        <rFont val="Tw Cen MT"/>
        <family val="2"/>
      </rPr>
      <t>. May not be accurate, as we keep adding lectures, practice, etc. There could be a new chapter not yet covered and shared with you yet, we take an average of 3 hours for such chapters. It gives you a fair estimate though. Please do not worry, any lecture added later or shared is informed via WhatsApp to all students. Also, it does not include the time required for studying, Exam Mentoring lectures, etc.</t>
    </r>
  </si>
  <si>
    <t>Syllabus</t>
  </si>
  <si>
    <r>
      <t xml:space="preserve">An indicator of the </t>
    </r>
    <r>
      <rPr>
        <b/>
        <sz val="11"/>
        <color theme="1"/>
        <rFont val="Tw Cen MT"/>
        <family val="2"/>
      </rPr>
      <t>number of subheads</t>
    </r>
    <r>
      <rPr>
        <sz val="11"/>
        <color theme="1"/>
        <rFont val="Tw Cen MT"/>
        <family val="2"/>
      </rPr>
      <t xml:space="preserve"> that the chapter has been divided into by the Institute. It approximately tells us the number of different concepts covered in a chapter and could be an indicator of the length of the chapter.</t>
    </r>
  </si>
  <si>
    <r>
      <t>It just gives an indication of whether the chapter is lengthy on a scale of '1' to '5', '</t>
    </r>
    <r>
      <rPr>
        <b/>
        <sz val="11"/>
        <color theme="1"/>
        <rFont val="Tw Cen MT"/>
        <family val="2"/>
      </rPr>
      <t>3' being an average chapter length.</t>
    </r>
  </si>
  <si>
    <t>Notes to Yourself</t>
  </si>
  <si>
    <t>Average</t>
  </si>
  <si>
    <t>Lengthy</t>
  </si>
  <si>
    <t>Numerical or Not</t>
  </si>
  <si>
    <t>Diff. Level</t>
  </si>
  <si>
    <t>Imp. Level</t>
  </si>
  <si>
    <t>Reqd. Prac.</t>
  </si>
  <si>
    <t>Cum. (%)</t>
  </si>
  <si>
    <t>Prac. Book</t>
  </si>
  <si>
    <t>Inc. Eff. Needed</t>
  </si>
  <si>
    <r>
      <rPr>
        <b/>
        <i/>
        <sz val="16"/>
        <color rgb="FFFF0000"/>
        <rFont val="Tw Cen MT"/>
        <family val="2"/>
      </rPr>
      <t>Instructions:</t>
    </r>
    <r>
      <rPr>
        <i/>
        <sz val="14"/>
        <color rgb="FFFF0000"/>
        <rFont val="Tw Cen MT"/>
        <family val="2"/>
      </rPr>
      <t xml:space="preserve"> Choose 'D' for Done and 'U' for Undone. </t>
    </r>
  </si>
  <si>
    <t>Changes</t>
  </si>
  <si>
    <t>Same</t>
  </si>
  <si>
    <t>New</t>
  </si>
  <si>
    <t>Confidence Level</t>
  </si>
  <si>
    <t>Extra Practice</t>
  </si>
  <si>
    <t>Level of Confidence</t>
  </si>
  <si>
    <t>Total weights</t>
  </si>
  <si>
    <t>Subjectwise weights</t>
  </si>
  <si>
    <t>Subjectwise weighted average</t>
  </si>
  <si>
    <t>Revision (U)</t>
  </si>
  <si>
    <t>Extra Practice (D)</t>
  </si>
  <si>
    <t>Extra Practice (U)</t>
  </si>
  <si>
    <t>Revision(D)</t>
  </si>
  <si>
    <t>Revision(T)</t>
  </si>
  <si>
    <t>Extra Practice (T)</t>
  </si>
  <si>
    <t>Confidence</t>
  </si>
  <si>
    <t>Confidence(T)</t>
  </si>
  <si>
    <t>Done (S)</t>
  </si>
  <si>
    <t xml:space="preserve">Expected Total Hours </t>
  </si>
  <si>
    <t>No. of days required</t>
  </si>
  <si>
    <t>Practice and Self Study</t>
  </si>
  <si>
    <t>Column2</t>
  </si>
  <si>
    <t>undone duration</t>
  </si>
  <si>
    <t>Hours of Lecture per week</t>
  </si>
  <si>
    <t>Column1</t>
  </si>
  <si>
    <r>
      <t xml:space="preserve">Study Hours - </t>
    </r>
    <r>
      <rPr>
        <b/>
        <sz val="10"/>
        <color theme="1"/>
        <rFont val="Tw Cen MT"/>
        <family val="2"/>
      </rPr>
      <t xml:space="preserve">Weekdays </t>
    </r>
    <r>
      <rPr>
        <sz val="10"/>
        <color theme="0" tint="-0.249977111117893"/>
        <rFont val="Tw Cen MT"/>
        <family val="2"/>
      </rPr>
      <t>Per day</t>
    </r>
  </si>
  <si>
    <r>
      <t xml:space="preserve">Study Hours - </t>
    </r>
    <r>
      <rPr>
        <b/>
        <sz val="10"/>
        <color theme="1"/>
        <rFont val="Tw Cen MT"/>
        <family val="2"/>
      </rPr>
      <t>Weekends</t>
    </r>
    <r>
      <rPr>
        <sz val="10"/>
        <color theme="1"/>
        <rFont val="Tw Cen MT"/>
        <family val="2"/>
      </rPr>
      <t xml:space="preserve"> </t>
    </r>
    <r>
      <rPr>
        <sz val="10"/>
        <color theme="0" tint="-0.249977111117893"/>
        <rFont val="Tw Cen MT"/>
        <family val="2"/>
      </rPr>
      <t>Per day</t>
    </r>
  </si>
  <si>
    <r>
      <t>Self Study Hours</t>
    </r>
    <r>
      <rPr>
        <sz val="10"/>
        <color theme="0" tint="-0.249977111117893"/>
        <rFont val="Tw Cen MT"/>
        <family val="2"/>
      </rPr>
      <t xml:space="preserve"> Per Chapter</t>
    </r>
  </si>
  <si>
    <r>
      <t xml:space="preserve">No. of days for </t>
    </r>
    <r>
      <rPr>
        <b/>
        <sz val="10"/>
        <color theme="1"/>
        <rFont val="Tw Cen MT"/>
        <family val="2"/>
      </rPr>
      <t>Revision</t>
    </r>
  </si>
  <si>
    <t>DONE</t>
  </si>
  <si>
    <t>UNDONE</t>
  </si>
  <si>
    <t>Row Labels</t>
  </si>
  <si>
    <t>Grand Total</t>
  </si>
  <si>
    <t>Count of Lectures</t>
  </si>
  <si>
    <t>Count of Self Study</t>
  </si>
  <si>
    <t>Count of Revision</t>
  </si>
  <si>
    <t>Count of Practice</t>
  </si>
  <si>
    <t>Count of Extra Practice</t>
  </si>
  <si>
    <t>More than expected</t>
  </si>
  <si>
    <t>Less than expected</t>
  </si>
  <si>
    <t>Schedule</t>
  </si>
  <si>
    <t>Total Lectures</t>
  </si>
  <si>
    <t>Total Self Study</t>
  </si>
  <si>
    <t>Extra Done</t>
  </si>
  <si>
    <t>Extra Undone</t>
  </si>
  <si>
    <t>Weekly</t>
  </si>
  <si>
    <t>Daily</t>
  </si>
  <si>
    <t>From Today till Revision</t>
  </si>
  <si>
    <t>From Beginning 
till Date</t>
  </si>
  <si>
    <t>Buffer days for pending portions &amp; practice</t>
  </si>
  <si>
    <t>No. of Chapters</t>
  </si>
  <si>
    <t>Lecture Hours</t>
  </si>
  <si>
    <t>Self Study Hours</t>
  </si>
  <si>
    <t>Total Self Study+Practice</t>
  </si>
  <si>
    <t>Total Hours</t>
  </si>
  <si>
    <r>
      <t xml:space="preserve">Rate on the Scale of </t>
    </r>
    <r>
      <rPr>
        <b/>
        <sz val="11"/>
        <color theme="1"/>
        <rFont val="Tw Cen MT"/>
        <family val="2"/>
      </rPr>
      <t>1 (Low) to 5 (High</t>
    </r>
    <r>
      <rPr>
        <sz val="11"/>
        <color theme="1"/>
        <rFont val="Tw Cen MT"/>
        <family val="2"/>
      </rPr>
      <t xml:space="preserve">). While revising make sure you give more time to topics in which you have low confidence level. </t>
    </r>
  </si>
  <si>
    <t>Numerical or 
Non-Numerical</t>
  </si>
  <si>
    <t>Importance Level</t>
  </si>
  <si>
    <r>
      <t xml:space="preserve">You may </t>
    </r>
    <r>
      <rPr>
        <b/>
        <sz val="11"/>
        <color theme="1"/>
        <rFont val="Tw Cen MT"/>
        <family val="2"/>
      </rPr>
      <t>add anything here that you wish to remind yourself during revision</t>
    </r>
    <r>
      <rPr>
        <sz val="11"/>
        <color theme="1"/>
        <rFont val="Tw Cen MT"/>
        <family val="2"/>
      </rPr>
      <t>. For example: 'Made a lot of mistakes, revise practice questions also for this chapter' or 'revise this chapter with more time, I didn't study well', 'revise this chapter at the end, I have retention issues' or 'I know this chapter due to my work profile'.</t>
    </r>
  </si>
  <si>
    <t>PERFORMANCE TRACKER</t>
  </si>
  <si>
    <t>INPUT</t>
  </si>
  <si>
    <r>
      <t xml:space="preserve">Make sure you follow the lectures and </t>
    </r>
    <r>
      <rPr>
        <b/>
        <sz val="11"/>
        <color theme="1"/>
        <rFont val="Tw Cen MT"/>
        <family val="2"/>
      </rPr>
      <t>study in the order as provided</t>
    </r>
    <r>
      <rPr>
        <sz val="11"/>
        <color theme="1"/>
        <rFont val="Tw Cen MT"/>
        <family val="2"/>
      </rPr>
      <t>. There could be prerequisites across subjects, hence the particular order. Also, have tried alternating theory and practical subjects. I have kept subjects with more retention issues for the latter half. Also, have tried to keep an overlap between two subjects so if you are bored with one, you can study another. If you want you may complete one subject at a time as well.</t>
    </r>
  </si>
  <si>
    <t>Your Name</t>
  </si>
  <si>
    <t>Factor Theory</t>
  </si>
  <si>
    <t>Factors</t>
  </si>
  <si>
    <t>Market Risk</t>
  </si>
  <si>
    <t>Backtesting VaR</t>
  </si>
  <si>
    <t>VaR Mapping</t>
  </si>
  <si>
    <t>Portfolio Construction</t>
  </si>
  <si>
    <t>VaR and Risk Budgeting in Investment Management</t>
  </si>
  <si>
    <t>Risk Monitoring and Performance Measurement</t>
  </si>
  <si>
    <t>Portfolio Performance Evaluation</t>
  </si>
  <si>
    <t>Empirical Approaches to Risk Metrics and Hedging</t>
  </si>
  <si>
    <t>The Science of Term Structure Models</t>
  </si>
  <si>
    <t>The Evolution of Short Rates and the Shape of the Term Structure</t>
  </si>
  <si>
    <t>Hedge Funds</t>
  </si>
  <si>
    <t>Performing Due Diligence on Specific Managers and Funds</t>
  </si>
  <si>
    <t>Volatility Smiles</t>
  </si>
  <si>
    <t>Fundamental Review of the Trading Book</t>
  </si>
  <si>
    <t>Credit Risk</t>
  </si>
  <si>
    <t>Capital Structure in Banks</t>
  </si>
  <si>
    <t>An Introduction to Securitisation</t>
  </si>
  <si>
    <t>Counterparty Risk and Beyond</t>
  </si>
  <si>
    <t>Netting, Close-out and Related Aspects</t>
  </si>
  <si>
    <t>CVA</t>
  </si>
  <si>
    <t>Future Value and Exposure</t>
  </si>
  <si>
    <t>The Evolution of Stress Testing Counterparty Exposures</t>
  </si>
  <si>
    <t>Credit Scoring and Retail Credit Risk Management</t>
  </si>
  <si>
    <t>Portfolio Credit Risk</t>
  </si>
  <si>
    <t>Structured Credit Risk</t>
  </si>
  <si>
    <t>Operational Risk</t>
  </si>
  <si>
    <t>Liquidity Risk</t>
  </si>
  <si>
    <t>Liquidity and Leverage</t>
  </si>
  <si>
    <t>Early Warning Indicators</t>
  </si>
  <si>
    <t>Capital Regulation Before the Global Financial Crisis</t>
  </si>
  <si>
    <t>Risk Capital Attribution and Risk-Adjusted Performance Measurement</t>
  </si>
  <si>
    <t>Guidance on Managing Outsourcing Risk</t>
  </si>
  <si>
    <t>The Investment Function in Financial-Services Management</t>
  </si>
  <si>
    <t>Intraday Liquidity Risk Management</t>
  </si>
  <si>
    <t>Monitoring Liquidity</t>
  </si>
  <si>
    <t>Stress Testing Banks</t>
  </si>
  <si>
    <t>Supervisory Guidance on Model Risk Management</t>
  </si>
  <si>
    <t>The Failure Mechanics of Dealer Banks</t>
  </si>
  <si>
    <t>Liquidity Stress Testing</t>
  </si>
  <si>
    <t>Liquidity Risk Reporting and Stress Testing</t>
  </si>
  <si>
    <t>Contingency Funding Planning</t>
  </si>
  <si>
    <t>Managing and Pricing Deposit Services</t>
  </si>
  <si>
    <t>Repurchase Agreements and Financing</t>
  </si>
  <si>
    <t>The US Dollar Shortage in Global Banking and the International Policy Response</t>
  </si>
  <si>
    <t>Illiquid Assets</t>
  </si>
  <si>
    <t>Current Issues</t>
  </si>
  <si>
    <t>GARP EOC Ques.</t>
  </si>
  <si>
    <t>FRM P-2</t>
  </si>
  <si>
    <t>The schedule is automatically update with every passing day, telling you what you need to complete in the current week and the following weeks until your revision day starts based on you study hours.</t>
  </si>
  <si>
    <r>
      <t xml:space="preserve">On a scale of </t>
    </r>
    <r>
      <rPr>
        <b/>
        <sz val="11"/>
        <color theme="1"/>
        <rFont val="Tw Cen MT"/>
        <family val="2"/>
      </rPr>
      <t>1(None) to 5(completely)</t>
    </r>
    <r>
      <rPr>
        <sz val="11"/>
        <color theme="1"/>
        <rFont val="Tw Cen MT"/>
        <family val="2"/>
      </rPr>
      <t xml:space="preserve"> have highlighted if the reading has a lot of numerical, formulas, ratios, calculations, etc. This is just to give you an idea to have the right expectations before you begin the chapter.</t>
    </r>
  </si>
  <si>
    <r>
      <t xml:space="preserve">Details on 'what' and 'how much' to practice has been provided in details already. This is just to give an indication on a chapter-wise basis, concerning the required practice, given how much the student is prone to error, or if there are a lot of confusing or difficult questions being tested from that chapter.
1 - Only If you have a shortage of time, you may skip the practice altogether, else do the </t>
    </r>
    <r>
      <rPr>
        <b/>
        <sz val="11"/>
        <color theme="1"/>
        <rFont val="Tw Cen MT"/>
        <family val="2"/>
      </rPr>
      <t xml:space="preserve">practice questions provided by going through the questions and solutions to quickly get a hang of the questions. </t>
    </r>
    <r>
      <rPr>
        <sz val="11"/>
        <color theme="1"/>
        <rFont val="Tw Cen MT"/>
        <family val="2"/>
      </rPr>
      <t xml:space="preserve">
2 - If you are short of time, try </t>
    </r>
    <r>
      <rPr>
        <b/>
        <sz val="11"/>
        <color theme="1"/>
        <rFont val="Tw Cen MT"/>
        <family val="2"/>
      </rPr>
      <t>Schweser EOC</t>
    </r>
    <r>
      <rPr>
        <sz val="11"/>
        <color theme="1"/>
        <rFont val="Tw Cen MT"/>
        <family val="2"/>
      </rPr>
      <t xml:space="preserve"> and do the Practice Questions provided by going through the questions and solutions to quickly get a hang of the questions. 
3 -Do the Schweser EOC, try the practice questions yourself first, and then go through the solution; then </t>
    </r>
    <r>
      <rPr>
        <b/>
        <sz val="11"/>
        <color theme="1"/>
        <rFont val="Tw Cen MT"/>
        <family val="2"/>
      </rPr>
      <t>try completing the Institute Material EOC</t>
    </r>
    <r>
      <rPr>
        <sz val="11"/>
        <color theme="1"/>
        <rFont val="Tw Cen MT"/>
        <family val="2"/>
      </rPr>
      <t xml:space="preserve">
4 - Do the Schweser EOC, try the practice questions yourself first, and then go through the solutions, then</t>
    </r>
    <r>
      <rPr>
        <b/>
        <sz val="11"/>
        <color theme="1"/>
        <rFont val="Tw Cen MT"/>
        <family val="2"/>
      </rPr>
      <t xml:space="preserve"> complete the Institute Material EOC</t>
    </r>
    <r>
      <rPr>
        <sz val="11"/>
        <color theme="1"/>
        <rFont val="Tw Cen MT"/>
        <family val="2"/>
      </rPr>
      <t>. Institute has not provided solutions to most questions and that could be an issue.</t>
    </r>
  </si>
  <si>
    <r>
      <t>This gives you a rough approximation of the ‘%’ of</t>
    </r>
    <r>
      <rPr>
        <b/>
        <sz val="11"/>
        <color theme="1"/>
        <rFont val="Tw Cen MT"/>
        <family val="2"/>
      </rPr>
      <t xml:space="preserve"> lectures completed</t>
    </r>
    <r>
      <rPr>
        <sz val="11"/>
        <color theme="1"/>
        <rFont val="Tw Cen MT"/>
        <family val="2"/>
      </rPr>
      <t xml:space="preserve">, and hence an idea of the proportion of syllabus completed. </t>
    </r>
  </si>
  <si>
    <r>
      <t xml:space="preserve">The Most important part of your preparation. You must </t>
    </r>
    <r>
      <rPr>
        <b/>
        <sz val="11"/>
        <color theme="1"/>
        <rFont val="Tw Cen MT"/>
        <family val="2"/>
      </rPr>
      <t>watch every single lecture</t>
    </r>
    <r>
      <rPr>
        <sz val="11"/>
        <color theme="1"/>
        <rFont val="Tw Cen MT"/>
        <family val="2"/>
      </rPr>
      <t xml:space="preserve"> very attentively. You are strictly advised against using your phone while attending the lectures. Sit for a minimum 2.5-3 hours at a stretch. Do not leave a topic or a concept in between while studying, by taking too many breaks. </t>
    </r>
  </si>
  <si>
    <t>Practice Books</t>
  </si>
  <si>
    <t xml:space="preserve">You have to do these, as the exam level of difficulty is quite good and practice is important. The level of difficulty is higher. Make sure you solve these on a chapter wise basis. Further details provided in ‘How to study and practice’ lecture. </t>
  </si>
  <si>
    <t>GARP EOC Questions</t>
  </si>
  <si>
    <t>The questions are a little difficult and quite a few of them Non-MCQ. You can go through them. It is a problem to solve all since institute hasn’t provided solutions in all chapters. We will have to focus on Practice book questions and a thorough revision given that the syllabus is quite extensive.</t>
  </si>
  <si>
    <t>Introduction to Operational Risk and Resilience</t>
  </si>
  <si>
    <t>Risk Governance</t>
  </si>
  <si>
    <t>Risk Identification</t>
  </si>
  <si>
    <t>Risk Measurement and Assessment</t>
  </si>
  <si>
    <t>Risk Mitigation</t>
  </si>
  <si>
    <t>Risk Reporting</t>
  </si>
  <si>
    <t>Integrated Risk Management</t>
  </si>
  <si>
    <t>Sound Management of Risks related to Money Laundering and Financing of Terrorism</t>
  </si>
  <si>
    <t>Predicting Fraud by Investment Managers</t>
  </si>
  <si>
    <t>Right click on the slicer and Refresh to update the graphs.</t>
  </si>
  <si>
    <t>Investment Risk</t>
  </si>
  <si>
    <t>Alpha and the Low-Risk Anomaly</t>
  </si>
  <si>
    <t>Estimating Market Risk Measures-An Introduction and Overview</t>
  </si>
  <si>
    <t>Non-parametric Approaches</t>
  </si>
  <si>
    <t>Parametric Approaches II-Extreme Value</t>
  </si>
  <si>
    <t>Basel Committee on Banking Supervision</t>
  </si>
  <si>
    <t>Portfolio Risk-Analytical Methods</t>
  </si>
  <si>
    <t>Correlation Basics-Definitions, Applications, and Terminology</t>
  </si>
  <si>
    <t>Empirical Properties of Correlation-How Do Correlations Behave in the Real World</t>
  </si>
  <si>
    <t>Financial Correlation Modeling-Bottom-Up Approaches</t>
  </si>
  <si>
    <t>The Art of Term Structure Models-Drift</t>
  </si>
  <si>
    <t>The Art of Term Structure Models-Volatility and Distribution</t>
  </si>
  <si>
    <t>Fundamentals of Credit Risk</t>
  </si>
  <si>
    <t>Governance</t>
  </si>
  <si>
    <t>Estimating Default Probabilities</t>
  </si>
  <si>
    <t>Credit Value at Risk</t>
  </si>
  <si>
    <t>Credit Derivatives</t>
  </si>
  <si>
    <t>Derivatives</t>
  </si>
  <si>
    <t>Margin Collateral and Settlement</t>
  </si>
  <si>
    <t>Credit Risk Management</t>
  </si>
  <si>
    <t>Credit Scoring and Rating</t>
  </si>
  <si>
    <t>Introduction to Credit Risk Modeling and Assessment</t>
  </si>
  <si>
    <t>Country Risk-Determinants, Measures, and Implications</t>
  </si>
  <si>
    <t>Central Clearing</t>
  </si>
  <si>
    <t>Case Study-Third-Party Risk Management</t>
  </si>
  <si>
    <t>Liquidity and Reserves Management-Strategies and Policies</t>
  </si>
  <si>
    <t>Range of Practices and Issues in Economic Capital Frameworks</t>
  </si>
  <si>
    <t>Capital Planning at Large Bank Holding Companies-Supervisory Expectations and Range of Current Practice</t>
  </si>
  <si>
    <t>Case Study-Model Risk and Model Validation</t>
  </si>
  <si>
    <t>Managing Non-deposit Liabilities</t>
  </si>
  <si>
    <t>High-Level Summary of Basel III Reforms</t>
  </si>
  <si>
    <t>Basel III-Finalising Post-Crisis Reforms</t>
  </si>
  <si>
    <t>Solvency, Liquidity, and Other Regulation After the Global Financial Crisis</t>
  </si>
  <si>
    <t>Liquidity Transfer Pricing-A Guide to Better Practice</t>
  </si>
  <si>
    <t>Covered Interest Parity Lost-Understanding the Cross-Currency Basis</t>
  </si>
  <si>
    <t>Risk Management for Changing Interest Rates-Asset-Liability Management and Duration Techniques</t>
  </si>
  <si>
    <t>Case Study-Financial Crime and Fraud</t>
  </si>
  <si>
    <t>Climate-Related Risk Drivers and their Transmission Channels</t>
  </si>
  <si>
    <t>Climate-Related Financial Risks-Measurement Methodologies</t>
  </si>
  <si>
    <t>Principles for the Effective Management and Supervision of Climate-Related Financial Risks</t>
  </si>
  <si>
    <t>Cyber-resilience-Range of practices</t>
  </si>
  <si>
    <t>Case Study-Cyberthreats and Information Security Risks</t>
  </si>
  <si>
    <t>Case Study-Investor Protection and Compliance Risks in Investment Activities</t>
  </si>
  <si>
    <t>Review of the Federal Reserves Supervision and Regulation of Silicon Valley Bank</t>
  </si>
  <si>
    <t>The Credit Suisse CoCo Wipeout-Facts, Misperceptions, and Lessons for Financial Regulation</t>
  </si>
  <si>
    <t>Artificial Intelligence and Bank Supervision</t>
  </si>
  <si>
    <t>Financial Risk Management and Explainable, Trustworthy, Responsible AI</t>
  </si>
  <si>
    <t>Artificial Intelligence Risk Management Framework</t>
  </si>
  <si>
    <t>The Crypto Ecosystem-Key Elements and Risks</t>
  </si>
  <si>
    <t>Digital Resilience and Financial Stability</t>
  </si>
  <si>
    <t>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</si>
</sst>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0;\-0;;@"/>
    <numFmt numFmtId="165" formatCode="[h]:mm"/>
    <numFmt numFmtId="166" formatCode="0\ &quot;days&quot;"/>
    <numFmt numFmtId="167" formatCode="0\ &quot;hrs&quot;"/>
    <numFmt numFmtId="168" formatCode="#,##0.0"/>
    <numFmt numFmtId="169" formatCode="[hh]:mm"/>
    <numFmt numFmtId="170" formatCode="0\ &quot;weeks&quot;"/>
    <numFmt numFmtId="171" formatCode="0.0\ &quot;hrs&quot;"/>
    <numFmt numFmtId="172" formatCode="0.0"/>
    <numFmt numFmtId="173" formatCode="0.0;\-0.0;;@"/>
    <numFmt numFmtId="174" formatCode="[hh]"/>
  </numFmts>
  <fonts count="79" x14ac:knownFonts="1">
    <font>
      <sz val="11"/>
      <color theme="1"/>
      <name val="Calibri"/>
      <family val="2"/>
      <scheme val="minor"/>
    </font>
    <font>
      <sz val="11"/>
      <color theme="1"/>
      <name val="Calibri"/>
      <family val="2"/>
      <scheme val="minor"/>
    </font>
    <font>
      <sz val="11"/>
      <color rgb="FF000000"/>
      <name val="Calibri"/>
      <family val="2"/>
    </font>
    <font>
      <sz val="11"/>
      <color theme="1"/>
      <name val="Tw Cen MT"/>
      <family val="2"/>
    </font>
    <font>
      <b/>
      <sz val="12"/>
      <color theme="0"/>
      <name val="Tw Cen MT"/>
      <family val="2"/>
    </font>
    <font>
      <b/>
      <sz val="11"/>
      <color theme="0"/>
      <name val="Tw Cen MT"/>
      <family val="2"/>
    </font>
    <font>
      <b/>
      <sz val="24"/>
      <color theme="0"/>
      <name val="Tw Cen MT"/>
      <family val="2"/>
    </font>
    <font>
      <b/>
      <u/>
      <sz val="24"/>
      <name val="Tw Cen MT"/>
      <family val="2"/>
    </font>
    <font>
      <b/>
      <u/>
      <sz val="20"/>
      <name val="Tw Cen MT"/>
      <family val="2"/>
    </font>
    <font>
      <b/>
      <sz val="22"/>
      <color theme="4" tint="-0.499984740745262"/>
      <name val="Tw Cen MT"/>
      <family val="2"/>
    </font>
    <font>
      <b/>
      <sz val="11"/>
      <color theme="1"/>
      <name val="Tw Cen MT"/>
      <family val="2"/>
    </font>
    <font>
      <sz val="12"/>
      <color theme="1"/>
      <name val="Tw Cen MT"/>
      <family val="2"/>
    </font>
    <font>
      <b/>
      <sz val="12"/>
      <color theme="1"/>
      <name val="Tw Cen MT"/>
      <family val="2"/>
    </font>
    <font>
      <i/>
      <sz val="12"/>
      <color theme="1"/>
      <name val="Tw Cen MT"/>
      <family val="2"/>
    </font>
    <font>
      <sz val="12"/>
      <color theme="3" tint="0.39997558519241921"/>
      <name val="Tw Cen MT"/>
      <family val="2"/>
    </font>
    <font>
      <sz val="12"/>
      <name val="Tw Cen MT"/>
      <family val="2"/>
    </font>
    <font>
      <i/>
      <sz val="12"/>
      <color theme="0"/>
      <name val="Tw Cen MT"/>
      <family val="2"/>
    </font>
    <font>
      <i/>
      <sz val="12"/>
      <name val="Tw Cen MT"/>
      <family val="2"/>
    </font>
    <font>
      <b/>
      <sz val="14"/>
      <color rgb="FF000000"/>
      <name val="Tw Cen MT"/>
      <family val="2"/>
    </font>
    <font>
      <sz val="11"/>
      <color rgb="FF000000"/>
      <name val="Tw Cen MT"/>
      <family val="2"/>
    </font>
    <font>
      <sz val="14"/>
      <color theme="1"/>
      <name val="Tw Cen MT"/>
      <family val="2"/>
    </font>
    <font>
      <b/>
      <sz val="14"/>
      <color theme="1"/>
      <name val="Tw Cen MT"/>
      <family val="2"/>
    </font>
    <font>
      <sz val="14"/>
      <name val="Tw Cen MT"/>
      <family val="2"/>
    </font>
    <font>
      <sz val="12"/>
      <color theme="0"/>
      <name val="Tw Cen MT"/>
      <family val="2"/>
    </font>
    <font>
      <b/>
      <sz val="22"/>
      <color theme="0"/>
      <name val="Tw Cen MT"/>
      <family val="2"/>
    </font>
    <font>
      <b/>
      <sz val="14"/>
      <name val="Tw Cen MT"/>
      <family val="2"/>
    </font>
    <font>
      <i/>
      <sz val="12"/>
      <color rgb="FF000000"/>
      <name val="Tw Cen MT"/>
      <family val="2"/>
    </font>
    <font>
      <i/>
      <sz val="12"/>
      <color rgb="FFFF0000"/>
      <name val="Tw Cen MT"/>
      <family val="2"/>
    </font>
    <font>
      <b/>
      <sz val="12"/>
      <name val="Tw Cen MT"/>
      <family val="2"/>
    </font>
    <font>
      <b/>
      <sz val="18"/>
      <color theme="1"/>
      <name val="Tw Cen MT"/>
      <family val="2"/>
    </font>
    <font>
      <b/>
      <sz val="12"/>
      <color theme="0" tint="-0.34998626667073579"/>
      <name val="Tw Cen MT"/>
      <family val="2"/>
    </font>
    <font>
      <sz val="8"/>
      <name val="Calibri"/>
      <family val="2"/>
      <scheme val="minor"/>
    </font>
    <font>
      <b/>
      <sz val="9"/>
      <color indexed="81"/>
      <name val="Tw Cen MT"/>
      <family val="2"/>
    </font>
    <font>
      <sz val="9"/>
      <color indexed="81"/>
      <name val="Tw Cen MT"/>
      <family val="2"/>
    </font>
    <font>
      <sz val="9"/>
      <color indexed="81"/>
      <name val="Tahoma"/>
      <family val="2"/>
    </font>
    <font>
      <b/>
      <sz val="9"/>
      <color indexed="81"/>
      <name val="Tahoma"/>
      <family val="2"/>
    </font>
    <font>
      <sz val="11"/>
      <name val="Tw Cen MT"/>
      <family val="2"/>
    </font>
    <font>
      <i/>
      <sz val="14"/>
      <color rgb="FFFF0000"/>
      <name val="Tw Cen MT"/>
      <family val="2"/>
    </font>
    <font>
      <b/>
      <sz val="11"/>
      <color theme="2" tint="-0.499984740745262"/>
      <name val="Tw Cen MT"/>
      <family val="2"/>
    </font>
    <font>
      <b/>
      <i/>
      <sz val="16"/>
      <color rgb="FFFF0000"/>
      <name val="Tw Cen MT"/>
      <family val="2"/>
    </font>
    <font>
      <u/>
      <sz val="11"/>
      <color theme="10"/>
      <name val="Calibri"/>
      <family val="2"/>
      <scheme val="minor"/>
    </font>
    <font>
      <sz val="12"/>
      <color rgb="FFFF0000"/>
      <name val="Tw Cen MT"/>
      <family val="2"/>
    </font>
    <font>
      <sz val="14"/>
      <color rgb="FFFF0000"/>
      <name val="Tw Cen MT"/>
      <family val="2"/>
    </font>
    <font>
      <sz val="11"/>
      <color theme="2" tint="-0.249977111117893"/>
      <name val="Tw Cen MT"/>
      <family val="2"/>
    </font>
    <font>
      <b/>
      <sz val="22"/>
      <name val="Tw Cen MT"/>
      <family val="2"/>
    </font>
    <font>
      <sz val="12"/>
      <color theme="5" tint="0.79998168889431442"/>
      <name val="Tw Cen MT"/>
      <family val="2"/>
    </font>
    <font>
      <sz val="14"/>
      <color theme="5" tint="0.79998168889431442"/>
      <name val="Tw Cen MT"/>
      <family val="2"/>
    </font>
    <font>
      <i/>
      <sz val="12"/>
      <color theme="5" tint="0.79998168889431442"/>
      <name val="Tw Cen MT"/>
      <family val="2"/>
    </font>
    <font>
      <b/>
      <sz val="11"/>
      <color theme="0" tint="-0.34998626667073579"/>
      <name val="Tw Cen MT"/>
      <family val="2"/>
    </font>
    <font>
      <sz val="10"/>
      <color theme="1"/>
      <name val="Tw Cen MT"/>
      <family val="2"/>
    </font>
    <font>
      <b/>
      <sz val="10"/>
      <color theme="1"/>
      <name val="Tw Cen MT"/>
      <family val="2"/>
    </font>
    <font>
      <sz val="10"/>
      <color theme="0" tint="-0.249977111117893"/>
      <name val="Tw Cen MT"/>
      <family val="2"/>
    </font>
    <font>
      <b/>
      <sz val="10"/>
      <name val="Tw Cen MT"/>
      <family val="2"/>
    </font>
    <font>
      <sz val="10"/>
      <name val="Tw Cen MT"/>
      <family val="2"/>
    </font>
    <font>
      <sz val="9"/>
      <name val="Tw Cen MT"/>
      <family val="2"/>
    </font>
    <font>
      <b/>
      <sz val="12"/>
      <color rgb="FFFF0000"/>
      <name val="Tempus Sans ITC"/>
      <family val="5"/>
    </font>
    <font>
      <b/>
      <sz val="10"/>
      <color rgb="FFFF0000"/>
      <name val="Tempus Sans ITC"/>
      <family val="5"/>
    </font>
    <font>
      <i/>
      <sz val="11"/>
      <name val="Tw Cen MT"/>
      <family val="2"/>
    </font>
    <font>
      <sz val="20"/>
      <color theme="1"/>
      <name val="Tw Cen MT"/>
      <family val="2"/>
    </font>
    <font>
      <sz val="20"/>
      <name val="Tw Cen MT"/>
      <family val="2"/>
    </font>
    <font>
      <b/>
      <sz val="14"/>
      <color theme="0"/>
      <name val="Tw Cen MT"/>
      <family val="2"/>
    </font>
    <font>
      <i/>
      <sz val="14"/>
      <color theme="0" tint="-0.499984740745262"/>
      <name val="Tw Cen MT"/>
      <family val="2"/>
    </font>
    <font>
      <sz val="12"/>
      <color theme="0" tint="-0.499984740745262"/>
      <name val="Tw Cen MT"/>
      <family val="2"/>
    </font>
    <font>
      <b/>
      <sz val="12"/>
      <color theme="1" tint="0.249977111117893"/>
      <name val="Tw Cen MT"/>
      <family val="2"/>
    </font>
    <font>
      <sz val="18"/>
      <color theme="0"/>
      <name val="Tw Cen MT"/>
      <family val="2"/>
    </font>
    <font>
      <sz val="9"/>
      <color theme="1"/>
      <name val="Tw Cen MT"/>
      <family val="2"/>
    </font>
    <font>
      <sz val="8"/>
      <color theme="1"/>
      <name val="Tw Cen MT"/>
      <family val="2"/>
    </font>
    <font>
      <sz val="8"/>
      <color theme="1" tint="0.499984740745262"/>
      <name val="Tw Cen MT"/>
      <family val="2"/>
    </font>
    <font>
      <sz val="8"/>
      <color theme="1"/>
      <name val="ABeeZee"/>
      <family val="3"/>
    </font>
    <font>
      <sz val="8"/>
      <color rgb="FFFF6600"/>
      <name val="ABeeZee"/>
      <family val="3"/>
    </font>
    <font>
      <sz val="8"/>
      <name val="ABeeZee"/>
      <family val="3"/>
    </font>
    <font>
      <sz val="9"/>
      <color theme="5" tint="0.79998168889431442"/>
      <name val="Tw Cen MT"/>
      <family val="2"/>
    </font>
    <font>
      <sz val="16"/>
      <name val="Tw Cen MT"/>
      <family val="2"/>
    </font>
    <font>
      <b/>
      <sz val="20"/>
      <color theme="0"/>
      <name val="Tw Cen MT"/>
      <family val="2"/>
    </font>
    <font>
      <sz val="14"/>
      <color theme="1" tint="0.499984740745262"/>
      <name val="Tw Cen MT"/>
      <family val="2"/>
    </font>
    <font>
      <sz val="11"/>
      <color theme="1" tint="0.499984740745262"/>
      <name val="Tw Cen MT"/>
      <family val="2"/>
    </font>
    <font>
      <b/>
      <sz val="20"/>
      <color theme="5"/>
      <name val="Tw Cen MT"/>
      <family val="2"/>
    </font>
    <font>
      <sz val="10"/>
      <color rgb="FF000000"/>
      <name val="Arial"/>
      <family val="2"/>
    </font>
    <font>
      <sz val="10"/>
      <color rgb="FF000000"/>
      <name val="Tw Cen MT"/>
      <family val="2"/>
    </font>
  </fonts>
  <fills count="27">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rgb="FFEC7524"/>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
      <patternFill patternType="solid">
        <fgColor rgb="FFF4AD7C"/>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7979"/>
        <bgColor indexed="64"/>
      </patternFill>
    </fill>
    <fill>
      <patternFill patternType="solid">
        <fgColor rgb="FFFFA3A3"/>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6600"/>
        <bgColor indexed="64"/>
      </patternFill>
    </fill>
    <fill>
      <patternFill patternType="solid">
        <fgColor rgb="FFFFF3EB"/>
        <bgColor indexed="64"/>
      </patternFill>
    </fill>
    <fill>
      <patternFill patternType="solid">
        <fgColor theme="4" tint="0.39997558519241921"/>
        <bgColor indexed="64"/>
      </patternFill>
    </fill>
    <fill>
      <patternFill patternType="solid">
        <fgColor theme="4" tint="0.79998168889431442"/>
        <bgColor theme="4" tint="0.79998168889431442"/>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left>
      <right style="thin">
        <color theme="0"/>
      </right>
      <top style="thin">
        <color theme="0"/>
      </top>
      <bottom/>
      <diagonal/>
    </border>
    <border>
      <left style="thick">
        <color theme="0"/>
      </left>
      <right/>
      <top/>
      <bottom style="thick">
        <color theme="5" tint="0.79998168889431442"/>
      </bottom>
      <diagonal/>
    </border>
    <border>
      <left style="thick">
        <color theme="0"/>
      </left>
      <right/>
      <top/>
      <bottom/>
      <diagonal/>
    </border>
    <border>
      <left style="thick">
        <color theme="0"/>
      </left>
      <right style="thick">
        <color theme="0"/>
      </right>
      <top/>
      <bottom/>
      <diagonal/>
    </border>
    <border>
      <left/>
      <right style="thick">
        <color theme="5" tint="0.79998168889431442"/>
      </right>
      <top/>
      <bottom/>
      <diagonal/>
    </border>
    <border>
      <left style="thin">
        <color theme="0"/>
      </left>
      <right style="thin">
        <color theme="0"/>
      </right>
      <top style="thin">
        <color theme="0"/>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ck">
        <color theme="5" tint="0.79998168889431442"/>
      </left>
      <right style="thick">
        <color theme="5" tint="0.79998168889431442"/>
      </right>
      <top style="thick">
        <color theme="5" tint="0.79998168889431442"/>
      </top>
      <bottom style="thick">
        <color theme="5" tint="0.7999816888943144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theme="5" tint="0.79998168889431442"/>
      </left>
      <right/>
      <top style="thin">
        <color theme="0"/>
      </top>
      <bottom style="thick">
        <color theme="5" tint="0.79998168889431442"/>
      </bottom>
      <diagonal/>
    </border>
    <border>
      <left/>
      <right/>
      <top style="thin">
        <color theme="0"/>
      </top>
      <bottom style="thick">
        <color theme="5" tint="0.79998168889431442"/>
      </bottom>
      <diagonal/>
    </border>
    <border>
      <left style="thick">
        <color theme="0"/>
      </left>
      <right style="thick">
        <color theme="0"/>
      </right>
      <top/>
      <bottom style="thin">
        <color theme="0"/>
      </bottom>
      <diagonal/>
    </border>
    <border>
      <left style="thick">
        <color rgb="FFFF6600"/>
      </left>
      <right style="thin">
        <color rgb="FFFF4747"/>
      </right>
      <top/>
      <bottom/>
      <diagonal/>
    </border>
    <border>
      <left style="thick">
        <color rgb="FFFF6600"/>
      </left>
      <right style="thick">
        <color rgb="FFFF6600"/>
      </right>
      <top style="thick">
        <color rgb="FFFF6600"/>
      </top>
      <bottom style="thick">
        <color rgb="FFFF6600"/>
      </bottom>
      <diagonal/>
    </border>
    <border>
      <left style="thick">
        <color rgb="FFFF6600"/>
      </left>
      <right/>
      <top style="thick">
        <color rgb="FFFF6600"/>
      </top>
      <bottom style="thick">
        <color rgb="FFFF6600"/>
      </bottom>
      <diagonal/>
    </border>
    <border>
      <left style="thick">
        <color theme="5" tint="0.79998168889431442"/>
      </left>
      <right/>
      <top style="thick">
        <color theme="5" tint="0.79998168889431442"/>
      </top>
      <bottom/>
      <diagonal/>
    </border>
    <border>
      <left/>
      <right style="thick">
        <color theme="5" tint="0.79998168889431442"/>
      </right>
      <top style="thick">
        <color theme="5" tint="0.79998168889431442"/>
      </top>
      <bottom/>
      <diagonal/>
    </border>
    <border>
      <left style="thick">
        <color theme="5" tint="0.79998168889431442"/>
      </left>
      <right/>
      <top/>
      <bottom/>
      <diagonal/>
    </border>
    <border>
      <left style="thick">
        <color theme="5" tint="0.79998168889431442"/>
      </left>
      <right/>
      <top/>
      <bottom style="thick">
        <color theme="5" tint="0.79998168889431442"/>
      </bottom>
      <diagonal/>
    </border>
    <border>
      <left/>
      <right style="thick">
        <color theme="5" tint="0.79998168889431442"/>
      </right>
      <top/>
      <bottom style="thick">
        <color theme="5" tint="0.79998168889431442"/>
      </bottom>
      <diagonal/>
    </border>
    <border>
      <left style="thick">
        <color theme="0"/>
      </left>
      <right/>
      <top style="thick">
        <color theme="5" tint="0.79998168889431442"/>
      </top>
      <bottom style="thin">
        <color theme="0"/>
      </bottom>
      <diagonal/>
    </border>
    <border>
      <left style="thick">
        <color theme="0"/>
      </left>
      <right/>
      <top style="thin">
        <color theme="0"/>
      </top>
      <bottom/>
      <diagonal/>
    </border>
    <border>
      <left/>
      <right/>
      <top style="thick">
        <color theme="5" tint="0.79998168889431442"/>
      </top>
      <bottom style="thick">
        <color theme="5" tint="0.79998168889431442"/>
      </bottom>
      <diagonal/>
    </border>
    <border>
      <left/>
      <right/>
      <top style="thin">
        <color indexed="64"/>
      </top>
      <bottom/>
      <diagonal/>
    </border>
    <border>
      <left/>
      <right style="thick">
        <color theme="0"/>
      </right>
      <top/>
      <bottom/>
      <diagonal/>
    </border>
    <border>
      <left/>
      <right style="thick">
        <color theme="0"/>
      </right>
      <top/>
      <bottom style="thick">
        <color theme="5" tint="0.79998168889431442"/>
      </bottom>
      <diagonal/>
    </border>
    <border>
      <left style="thick">
        <color theme="5" tint="0.79998168889431442"/>
      </left>
      <right/>
      <top style="thick">
        <color theme="5" tint="0.79998168889431442"/>
      </top>
      <bottom style="thick">
        <color theme="5" tint="0.79998168889431442"/>
      </bottom>
      <diagonal/>
    </border>
    <border>
      <left/>
      <right style="thick">
        <color theme="5" tint="0.79998168889431442"/>
      </right>
      <top style="thick">
        <color theme="5" tint="0.79998168889431442"/>
      </top>
      <bottom style="thick">
        <color theme="5" tint="0.79998168889431442"/>
      </bottom>
      <diagonal/>
    </border>
    <border>
      <left/>
      <right/>
      <top style="thick">
        <color theme="0"/>
      </top>
      <bottom/>
      <diagonal/>
    </border>
    <border>
      <left/>
      <right/>
      <top style="thin">
        <color theme="4" tint="0.39997558519241921"/>
      </top>
      <bottom/>
      <diagonal/>
    </border>
  </borders>
  <cellStyleXfs count="6">
    <xf numFmtId="0" fontId="0" fillId="0" borderId="0"/>
    <xf numFmtId="0" fontId="1" fillId="2" borderId="0" applyNumberFormat="0" applyBorder="0" applyAlignment="0" applyProtection="0"/>
    <xf numFmtId="0" fontId="2" fillId="0" borderId="0"/>
    <xf numFmtId="9" fontId="1" fillId="0" borderId="0" applyFont="0" applyFill="0" applyBorder="0" applyAlignment="0" applyProtection="0"/>
    <xf numFmtId="0" fontId="40" fillId="0" borderId="0" applyNumberFormat="0" applyFill="0" applyBorder="0" applyAlignment="0" applyProtection="0"/>
    <xf numFmtId="0" fontId="77" fillId="0" borderId="0"/>
  </cellStyleXfs>
  <cellXfs count="323">
    <xf numFmtId="0" fontId="0" fillId="0" borderId="0" xfId="0"/>
    <xf numFmtId="0" fontId="3" fillId="3" borderId="0" xfId="0" applyFont="1" applyFill="1"/>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xf>
    <xf numFmtId="0" fontId="12" fillId="6" borderId="0" xfId="0" applyFont="1" applyFill="1"/>
    <xf numFmtId="0" fontId="12" fillId="7" borderId="0" xfId="0" applyFont="1" applyFill="1"/>
    <xf numFmtId="0" fontId="12" fillId="8" borderId="0" xfId="0" applyFont="1" applyFill="1"/>
    <xf numFmtId="0" fontId="12" fillId="9" borderId="0" xfId="0" applyFont="1" applyFill="1"/>
    <xf numFmtId="0" fontId="4" fillId="10" borderId="1" xfId="0" applyFont="1" applyFill="1" applyBorder="1" applyAlignment="1">
      <alignment horizontal="center" vertical="center" wrapText="1"/>
    </xf>
    <xf numFmtId="169" fontId="28" fillId="0" borderId="2" xfId="0" applyNumberFormat="1" applyFont="1" applyBorder="1" applyAlignment="1">
      <alignment horizontal="center" vertical="center" wrapText="1"/>
    </xf>
    <xf numFmtId="0" fontId="30" fillId="4" borderId="2" xfId="0" applyFont="1" applyFill="1" applyBorder="1" applyAlignment="1">
      <alignment horizontal="center" vertical="center" wrapText="1"/>
    </xf>
    <xf numFmtId="20" fontId="13" fillId="0" borderId="3" xfId="0" applyNumberFormat="1" applyFont="1" applyBorder="1" applyAlignment="1">
      <alignment horizontal="center" vertical="center" wrapText="1"/>
    </xf>
    <xf numFmtId="20" fontId="26" fillId="0" borderId="3" xfId="0" applyNumberFormat="1" applyFont="1" applyBorder="1" applyAlignment="1">
      <alignment horizontal="center" vertical="center" wrapText="1"/>
    </xf>
    <xf numFmtId="20" fontId="17" fillId="0" borderId="3" xfId="0" applyNumberFormat="1" applyFont="1" applyBorder="1" applyAlignment="1">
      <alignment horizontal="center" vertical="center" wrapText="1"/>
    </xf>
    <xf numFmtId="20" fontId="13" fillId="0" borderId="3" xfId="0" applyNumberFormat="1" applyFont="1" applyBorder="1" applyAlignment="1">
      <alignment horizontal="center" vertical="center"/>
    </xf>
    <xf numFmtId="169" fontId="15" fillId="0" borderId="2" xfId="0" applyNumberFormat="1" applyFont="1" applyBorder="1" applyAlignment="1">
      <alignment horizontal="center" vertical="center" wrapText="1"/>
    </xf>
    <xf numFmtId="0" fontId="5" fillId="3" borderId="3" xfId="0" applyFont="1" applyFill="1" applyBorder="1" applyAlignment="1">
      <alignment horizontal="center" vertical="center" wrapText="1"/>
    </xf>
    <xf numFmtId="17" fontId="3" fillId="0" borderId="2" xfId="0" applyNumberFormat="1" applyFont="1" applyBorder="1" applyAlignment="1" applyProtection="1">
      <alignment horizontal="center" vertical="center"/>
      <protection locked="0"/>
    </xf>
    <xf numFmtId="17" fontId="3" fillId="0" borderId="1" xfId="0" applyNumberFormat="1" applyFont="1" applyBorder="1" applyAlignment="1" applyProtection="1">
      <alignment horizontal="center" vertical="center"/>
      <protection locked="0"/>
    </xf>
    <xf numFmtId="17" fontId="3" fillId="0" borderId="6" xfId="0" applyNumberFormat="1" applyFont="1" applyBorder="1" applyAlignment="1" applyProtection="1">
      <alignment horizontal="center" vertical="center"/>
      <protection locked="0"/>
    </xf>
    <xf numFmtId="9" fontId="12" fillId="0" borderId="2"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0" fontId="5" fillId="3" borderId="7" xfId="0" applyFont="1" applyFill="1" applyBorder="1" applyAlignment="1">
      <alignment horizontal="center" vertical="center" wrapText="1"/>
    </xf>
    <xf numFmtId="20" fontId="13" fillId="0" borderId="2" xfId="0" applyNumberFormat="1" applyFont="1" applyBorder="1" applyAlignment="1">
      <alignment horizontal="center" vertical="center" wrapText="1"/>
    </xf>
    <xf numFmtId="0" fontId="12" fillId="5" borderId="0" xfId="0" applyFont="1" applyFill="1"/>
    <xf numFmtId="0" fontId="12" fillId="15" borderId="0" xfId="0" applyFont="1" applyFill="1"/>
    <xf numFmtId="0" fontId="12" fillId="14" borderId="0" xfId="0" applyFont="1" applyFill="1"/>
    <xf numFmtId="20" fontId="17" fillId="0" borderId="2" xfId="0" applyNumberFormat="1" applyFont="1" applyBorder="1" applyAlignment="1">
      <alignment horizontal="center" vertical="center" wrapText="1"/>
    </xf>
    <xf numFmtId="17" fontId="43" fillId="0" borderId="2" xfId="0" applyNumberFormat="1" applyFont="1" applyBorder="1" applyAlignment="1" applyProtection="1">
      <alignment horizontal="center" vertical="center"/>
      <protection locked="0"/>
    </xf>
    <xf numFmtId="0" fontId="11" fillId="16" borderId="0" xfId="0" applyFont="1" applyFill="1"/>
    <xf numFmtId="0" fontId="14" fillId="16" borderId="0" xfId="0" applyFont="1" applyFill="1"/>
    <xf numFmtId="0" fontId="15" fillId="16" borderId="0" xfId="0" applyFont="1" applyFill="1"/>
    <xf numFmtId="0" fontId="20" fillId="16" borderId="0" xfId="0" applyFont="1" applyFill="1"/>
    <xf numFmtId="0" fontId="41" fillId="16" borderId="0" xfId="0" applyFont="1" applyFill="1"/>
    <xf numFmtId="0" fontId="22" fillId="16" borderId="0" xfId="0" applyFont="1" applyFill="1"/>
    <xf numFmtId="0" fontId="42" fillId="16" borderId="0" xfId="0" applyFont="1" applyFill="1"/>
    <xf numFmtId="0" fontId="45" fillId="16" borderId="0" xfId="0" applyFont="1" applyFill="1"/>
    <xf numFmtId="164" fontId="45" fillId="16" borderId="0" xfId="0" applyNumberFormat="1" applyFont="1" applyFill="1"/>
    <xf numFmtId="0" fontId="46" fillId="16" borderId="0" xfId="0" applyFont="1" applyFill="1"/>
    <xf numFmtId="0" fontId="47" fillId="16" borderId="0" xfId="0" applyFont="1" applyFill="1" applyAlignment="1">
      <alignment horizontal="left" vertical="center" wrapText="1"/>
    </xf>
    <xf numFmtId="0" fontId="16" fillId="16" borderId="0" xfId="0" applyFont="1" applyFill="1" applyAlignment="1">
      <alignment horizontal="left" vertical="center" wrapText="1"/>
    </xf>
    <xf numFmtId="0" fontId="3" fillId="16" borderId="0" xfId="0" applyFont="1" applyFill="1"/>
    <xf numFmtId="0" fontId="3" fillId="16" borderId="0" xfId="0" applyFont="1" applyFill="1" applyAlignment="1">
      <alignment wrapText="1"/>
    </xf>
    <xf numFmtId="3" fontId="13" fillId="0" borderId="2" xfId="0" applyNumberFormat="1" applyFont="1" applyBorder="1" applyAlignment="1">
      <alignment horizontal="center" vertical="center" wrapText="1"/>
    </xf>
    <xf numFmtId="0" fontId="48" fillId="3" borderId="3" xfId="0" applyFont="1" applyFill="1" applyBorder="1" applyAlignment="1">
      <alignment horizontal="center" vertical="center" wrapText="1"/>
    </xf>
    <xf numFmtId="0" fontId="3" fillId="4" borderId="2" xfId="0" applyFont="1" applyFill="1" applyBorder="1" applyAlignment="1">
      <alignment vertical="center" wrapText="1"/>
    </xf>
    <xf numFmtId="169" fontId="25" fillId="4" borderId="2" xfId="0" applyNumberFormat="1" applyFont="1" applyFill="1" applyBorder="1" applyAlignment="1">
      <alignment horizontal="center" vertical="center" wrapText="1"/>
    </xf>
    <xf numFmtId="9" fontId="25" fillId="4" borderId="2" xfId="0" applyNumberFormat="1" applyFont="1" applyFill="1" applyBorder="1" applyAlignment="1">
      <alignment horizontal="center" vertical="center" wrapText="1"/>
    </xf>
    <xf numFmtId="3" fontId="25" fillId="4" borderId="2" xfId="0" applyNumberFormat="1" applyFont="1" applyFill="1" applyBorder="1" applyAlignment="1">
      <alignment horizontal="center" vertical="center" wrapText="1"/>
    </xf>
    <xf numFmtId="0" fontId="25" fillId="4" borderId="2" xfId="0" applyFont="1" applyFill="1" applyBorder="1" applyAlignment="1">
      <alignment horizontal="center" vertical="center" wrapText="1"/>
    </xf>
    <xf numFmtId="171" fontId="49" fillId="3" borderId="0" xfId="0" applyNumberFormat="1" applyFont="1" applyFill="1" applyAlignment="1" applyProtection="1">
      <alignment horizontal="center" vertical="center" wrapText="1"/>
      <protection locked="0"/>
    </xf>
    <xf numFmtId="166" fontId="49" fillId="3" borderId="0" xfId="0" applyNumberFormat="1" applyFont="1" applyFill="1" applyAlignment="1" applyProtection="1">
      <alignment horizontal="center" vertical="center" wrapText="1"/>
      <protection locked="0"/>
    </xf>
    <xf numFmtId="0" fontId="7" fillId="16" borderId="0" xfId="2" applyFont="1" applyFill="1" applyAlignment="1">
      <alignment horizontal="left"/>
    </xf>
    <xf numFmtId="0" fontId="8" fillId="16" borderId="0" xfId="0" applyFont="1" applyFill="1" applyAlignment="1">
      <alignment horizontal="left"/>
    </xf>
    <xf numFmtId="0" fontId="8" fillId="16" borderId="0" xfId="0" applyFont="1" applyFill="1" applyAlignment="1">
      <alignment horizontal="left" wrapText="1"/>
    </xf>
    <xf numFmtId="21" fontId="3" fillId="16" borderId="0" xfId="0" applyNumberFormat="1" applyFont="1" applyFill="1"/>
    <xf numFmtId="0" fontId="44" fillId="16" borderId="0" xfId="0" applyFont="1" applyFill="1" applyAlignment="1">
      <alignment horizontal="center" vertical="center"/>
    </xf>
    <xf numFmtId="0" fontId="42" fillId="16" borderId="0" xfId="0" applyFont="1" applyFill="1" applyAlignment="1">
      <alignment vertical="center" wrapText="1"/>
    </xf>
    <xf numFmtId="0" fontId="24" fillId="16" borderId="0" xfId="0" applyFont="1" applyFill="1" applyAlignment="1">
      <alignment vertical="center" wrapText="1"/>
    </xf>
    <xf numFmtId="0" fontId="29" fillId="16" borderId="0" xfId="0" applyFont="1" applyFill="1" applyAlignment="1">
      <alignment vertical="center"/>
    </xf>
    <xf numFmtId="0" fontId="9" fillId="16" borderId="0" xfId="0" applyFont="1" applyFill="1" applyAlignment="1">
      <alignment vertical="center"/>
    </xf>
    <xf numFmtId="0" fontId="3" fillId="16" borderId="0" xfId="0" applyFont="1" applyFill="1" applyAlignment="1">
      <alignment vertical="center"/>
    </xf>
    <xf numFmtId="0" fontId="3" fillId="16" borderId="0" xfId="0" applyFont="1" applyFill="1" applyAlignment="1">
      <alignment horizontal="center" wrapText="1"/>
    </xf>
    <xf numFmtId="0" fontId="27" fillId="16" borderId="0" xfId="0" applyFont="1" applyFill="1" applyAlignment="1">
      <alignment vertical="center"/>
    </xf>
    <xf numFmtId="0" fontId="6" fillId="16" borderId="0" xfId="0" applyFont="1" applyFill="1" applyAlignment="1">
      <alignment vertical="center"/>
    </xf>
    <xf numFmtId="0" fontId="27" fillId="16" borderId="4" xfId="0" applyFont="1" applyFill="1" applyBorder="1" applyAlignment="1">
      <alignment vertical="center"/>
    </xf>
    <xf numFmtId="0" fontId="38" fillId="16" borderId="0" xfId="0" applyFont="1" applyFill="1" applyAlignment="1">
      <alignment horizontal="right" wrapText="1"/>
    </xf>
    <xf numFmtId="172" fontId="38" fillId="16" borderId="0" xfId="0" applyNumberFormat="1" applyFont="1" applyFill="1" applyAlignment="1">
      <alignment horizontal="center" wrapText="1"/>
    </xf>
    <xf numFmtId="169" fontId="38" fillId="16" borderId="0" xfId="0" applyNumberFormat="1" applyFont="1" applyFill="1" applyAlignment="1">
      <alignment horizontal="center" wrapText="1"/>
    </xf>
    <xf numFmtId="4" fontId="3" fillId="16" borderId="0" xfId="0" applyNumberFormat="1" applyFont="1" applyFill="1"/>
    <xf numFmtId="0" fontId="60" fillId="10" borderId="9" xfId="0" applyFont="1" applyFill="1" applyBorder="1" applyAlignment="1">
      <alignment vertical="center"/>
    </xf>
    <xf numFmtId="0" fontId="61" fillId="3" borderId="9" xfId="0" applyFont="1" applyFill="1" applyBorder="1" applyAlignment="1" applyProtection="1">
      <alignment horizontal="left" vertical="center" indent="2"/>
      <protection locked="0"/>
    </xf>
    <xf numFmtId="0" fontId="6" fillId="21" borderId="0" xfId="0" applyFont="1" applyFill="1" applyAlignment="1">
      <alignment vertical="center"/>
    </xf>
    <xf numFmtId="0" fontId="24" fillId="21" borderId="0" xfId="0" applyFont="1" applyFill="1" applyAlignment="1">
      <alignment vertical="center" wrapText="1"/>
    </xf>
    <xf numFmtId="0" fontId="24" fillId="21" borderId="0" xfId="0" applyFont="1" applyFill="1" applyAlignment="1">
      <alignment horizontal="right"/>
    </xf>
    <xf numFmtId="0" fontId="4" fillId="10" borderId="2" xfId="0" applyFont="1" applyFill="1" applyBorder="1" applyAlignment="1">
      <alignment horizontal="center" vertical="center" wrapText="1"/>
    </xf>
    <xf numFmtId="0" fontId="24" fillId="21" borderId="0" xfId="0" applyFont="1" applyFill="1" applyAlignment="1">
      <alignment vertical="center"/>
    </xf>
    <xf numFmtId="0" fontId="23" fillId="21" borderId="0" xfId="0" applyFont="1" applyFill="1"/>
    <xf numFmtId="9" fontId="12" fillId="0" borderId="0" xfId="0" applyNumberFormat="1" applyFont="1" applyAlignment="1">
      <alignment horizontal="center" vertical="center" wrapText="1"/>
    </xf>
    <xf numFmtId="164" fontId="22" fillId="16" borderId="0" xfId="0" applyNumberFormat="1" applyFont="1" applyFill="1"/>
    <xf numFmtId="9" fontId="45" fillId="16" borderId="0" xfId="0" applyNumberFormat="1" applyFont="1" applyFill="1"/>
    <xf numFmtId="170" fontId="11" fillId="0" borderId="2" xfId="0" applyNumberFormat="1" applyFont="1" applyBorder="1" applyAlignment="1">
      <alignment horizontal="center" vertical="center" wrapText="1"/>
    </xf>
    <xf numFmtId="166" fontId="11" fillId="0" borderId="2" xfId="0" applyNumberFormat="1" applyFont="1" applyBorder="1" applyAlignment="1">
      <alignment horizontal="center" vertical="center" wrapText="1"/>
    </xf>
    <xf numFmtId="4" fontId="11" fillId="0" borderId="2" xfId="0" applyNumberFormat="1" applyFont="1" applyBorder="1" applyAlignment="1">
      <alignment vertical="center" wrapText="1"/>
    </xf>
    <xf numFmtId="166" fontId="12" fillId="0" borderId="2" xfId="0" applyNumberFormat="1" applyFont="1" applyBorder="1" applyAlignment="1">
      <alignment horizontal="center" vertical="center" wrapText="1"/>
    </xf>
    <xf numFmtId="4" fontId="11" fillId="0" borderId="2" xfId="0" applyNumberFormat="1" applyFont="1" applyBorder="1" applyAlignment="1">
      <alignment vertical="center"/>
    </xf>
    <xf numFmtId="167" fontId="12" fillId="0" borderId="2" xfId="0" applyNumberFormat="1" applyFont="1" applyBorder="1" applyAlignment="1">
      <alignment horizontal="center" vertical="center" wrapText="1"/>
    </xf>
    <xf numFmtId="0" fontId="3" fillId="0" borderId="2" xfId="0" applyFont="1" applyBorder="1"/>
    <xf numFmtId="0" fontId="3" fillId="0" borderId="0" xfId="0" applyFont="1"/>
    <xf numFmtId="0" fontId="10" fillId="22" borderId="2" xfId="0" applyFont="1" applyFill="1" applyBorder="1" applyAlignment="1">
      <alignment horizontal="center" vertical="center"/>
    </xf>
    <xf numFmtId="0" fontId="10" fillId="22" borderId="2" xfId="0" applyFont="1" applyFill="1" applyBorder="1" applyAlignment="1">
      <alignment vertical="center"/>
    </xf>
    <xf numFmtId="4" fontId="11" fillId="0" borderId="2" xfId="0" applyNumberFormat="1" applyFont="1" applyBorder="1" applyAlignment="1">
      <alignment horizontal="left" vertical="center" indent="1"/>
    </xf>
    <xf numFmtId="169" fontId="15" fillId="0" borderId="0" xfId="0" applyNumberFormat="1" applyFont="1" applyAlignment="1">
      <alignment horizontal="center" vertical="center" wrapText="1"/>
    </xf>
    <xf numFmtId="15" fontId="3" fillId="0" borderId="24" xfId="0" applyNumberFormat="1" applyFont="1" applyBorder="1" applyAlignment="1">
      <alignment horizontal="center"/>
    </xf>
    <xf numFmtId="4" fontId="3" fillId="0" borderId="2" xfId="3" applyNumberFormat="1" applyFont="1" applyFill="1" applyBorder="1" applyAlignment="1">
      <alignment horizontal="center"/>
    </xf>
    <xf numFmtId="9" fontId="3" fillId="0" borderId="2" xfId="3" applyFont="1" applyFill="1" applyBorder="1" applyAlignment="1">
      <alignment horizontal="center"/>
    </xf>
    <xf numFmtId="9" fontId="3" fillId="0" borderId="2" xfId="0" applyNumberFormat="1" applyFont="1" applyBorder="1" applyAlignment="1">
      <alignment horizontal="center"/>
    </xf>
    <xf numFmtId="0" fontId="3" fillId="0" borderId="23" xfId="0" applyFont="1" applyBorder="1"/>
    <xf numFmtId="4" fontId="3" fillId="0" borderId="2" xfId="0" applyNumberFormat="1" applyFont="1" applyBorder="1" applyAlignment="1">
      <alignment horizontal="center"/>
    </xf>
    <xf numFmtId="3" fontId="28" fillId="0" borderId="0" xfId="0" applyNumberFormat="1" applyFont="1" applyAlignment="1">
      <alignment horizontal="center" vertical="center" wrapText="1"/>
    </xf>
    <xf numFmtId="15" fontId="3" fillId="0" borderId="25" xfId="0" applyNumberFormat="1" applyFont="1" applyBorder="1" applyAlignment="1">
      <alignment horizontal="center"/>
    </xf>
    <xf numFmtId="4" fontId="3" fillId="0" borderId="6" xfId="3" applyNumberFormat="1" applyFont="1" applyFill="1" applyBorder="1" applyAlignment="1" applyProtection="1">
      <alignment horizontal="center"/>
    </xf>
    <xf numFmtId="9" fontId="3" fillId="0" borderId="6" xfId="3" applyFont="1" applyFill="1" applyBorder="1" applyAlignment="1" applyProtection="1">
      <alignment horizontal="center"/>
    </xf>
    <xf numFmtId="9" fontId="3" fillId="0" borderId="6" xfId="0" applyNumberFormat="1" applyFont="1" applyBorder="1" applyAlignment="1">
      <alignment horizontal="center"/>
    </xf>
    <xf numFmtId="0" fontId="3" fillId="0" borderId="6" xfId="0" applyFont="1" applyBorder="1" applyAlignment="1">
      <alignment horizontal="center"/>
    </xf>
    <xf numFmtId="0" fontId="3" fillId="0" borderId="3" xfId="0" applyFont="1" applyBorder="1"/>
    <xf numFmtId="169" fontId="25" fillId="0" borderId="0" xfId="0" applyNumberFormat="1" applyFont="1" applyAlignment="1">
      <alignment horizontal="center" vertical="center" wrapText="1"/>
    </xf>
    <xf numFmtId="15" fontId="3" fillId="0" borderId="0" xfId="0" applyNumberFormat="1" applyFont="1" applyAlignment="1">
      <alignment horizontal="center"/>
    </xf>
    <xf numFmtId="4" fontId="3" fillId="0" borderId="0" xfId="3" applyNumberFormat="1" applyFont="1" applyFill="1" applyBorder="1" applyAlignment="1" applyProtection="1">
      <alignment horizontal="center"/>
    </xf>
    <xf numFmtId="9" fontId="3" fillId="0" borderId="0" xfId="3" applyFont="1" applyFill="1" applyBorder="1" applyAlignment="1" applyProtection="1">
      <alignment horizontal="center"/>
    </xf>
    <xf numFmtId="9" fontId="3" fillId="0" borderId="0" xfId="0" applyNumberFormat="1" applyFont="1" applyAlignment="1">
      <alignment horizontal="center"/>
    </xf>
    <xf numFmtId="0" fontId="3" fillId="0" borderId="0" xfId="0" applyFont="1" applyAlignment="1">
      <alignment horizontal="center"/>
    </xf>
    <xf numFmtId="0" fontId="28" fillId="22" borderId="2" xfId="0" applyFont="1" applyFill="1" applyBorder="1" applyAlignment="1">
      <alignment horizontal="left" vertical="center" indent="1"/>
    </xf>
    <xf numFmtId="0" fontId="28" fillId="22" borderId="2" xfId="0" applyFont="1" applyFill="1" applyBorder="1" applyAlignment="1">
      <alignment horizontal="center" vertical="center" wrapText="1"/>
    </xf>
    <xf numFmtId="0" fontId="11" fillId="0" borderId="2" xfId="0" applyFont="1" applyBorder="1" applyAlignment="1">
      <alignment horizontal="left" vertical="center" wrapText="1"/>
    </xf>
    <xf numFmtId="172" fontId="15" fillId="0" borderId="2" xfId="0" applyNumberFormat="1" applyFont="1" applyBorder="1" applyAlignment="1">
      <alignment horizontal="center" vertical="center" wrapText="1"/>
    </xf>
    <xf numFmtId="0" fontId="12" fillId="0" borderId="2" xfId="0" applyFont="1" applyBorder="1" applyAlignment="1">
      <alignment horizontal="left" vertical="center" wrapText="1"/>
    </xf>
    <xf numFmtId="0" fontId="11" fillId="0" borderId="2" xfId="0" quotePrefix="1" applyFont="1" applyBorder="1" applyAlignment="1">
      <alignment horizontal="left" vertical="center" wrapText="1" indent="1"/>
    </xf>
    <xf numFmtId="0" fontId="11" fillId="0" borderId="0" xfId="0" quotePrefix="1" applyFont="1" applyAlignment="1">
      <alignment horizontal="left" vertical="center" wrapText="1" indent="2"/>
    </xf>
    <xf numFmtId="9" fontId="11" fillId="0" borderId="0" xfId="0" applyNumberFormat="1" applyFont="1" applyAlignment="1">
      <alignment horizontal="center" vertical="center" wrapText="1"/>
    </xf>
    <xf numFmtId="0" fontId="10" fillId="0" borderId="2" xfId="0" applyFont="1" applyBorder="1"/>
    <xf numFmtId="9" fontId="3" fillId="0" borderId="2" xfId="0" applyNumberFormat="1" applyFont="1" applyBorder="1"/>
    <xf numFmtId="1" fontId="3" fillId="0" borderId="2" xfId="0" applyNumberFormat="1" applyFont="1" applyBorder="1"/>
    <xf numFmtId="3" fontId="3" fillId="0" borderId="2" xfId="0" applyNumberFormat="1" applyFont="1" applyBorder="1"/>
    <xf numFmtId="174" fontId="3" fillId="0" borderId="0" xfId="0" applyNumberFormat="1" applyFont="1"/>
    <xf numFmtId="0" fontId="3" fillId="0" borderId="0" xfId="0" pivotButton="1" applyFont="1"/>
    <xf numFmtId="0" fontId="3" fillId="0" borderId="0" xfId="0" applyFont="1" applyAlignment="1">
      <alignment horizontal="left"/>
    </xf>
    <xf numFmtId="3" fontId="28" fillId="0" borderId="2" xfId="0" applyNumberFormat="1" applyFont="1" applyBorder="1" applyAlignment="1">
      <alignment horizontal="center" vertical="center" wrapText="1"/>
    </xf>
    <xf numFmtId="4" fontId="28" fillId="0" borderId="0" xfId="0" applyNumberFormat="1" applyFont="1" applyAlignment="1">
      <alignment vertical="center"/>
    </xf>
    <xf numFmtId="4" fontId="15" fillId="0" borderId="0" xfId="0" applyNumberFormat="1" applyFont="1" applyAlignment="1">
      <alignment vertical="center"/>
    </xf>
    <xf numFmtId="0" fontId="36" fillId="0" borderId="0" xfId="0" applyFont="1"/>
    <xf numFmtId="4" fontId="15" fillId="0" borderId="0" xfId="0" applyNumberFormat="1" applyFont="1" applyAlignment="1">
      <alignment horizontal="left" vertical="center" indent="1"/>
    </xf>
    <xf numFmtId="169" fontId="28" fillId="0" borderId="0" xfId="0" applyNumberFormat="1" applyFont="1" applyAlignment="1">
      <alignment horizontal="center" vertical="center" wrapText="1"/>
    </xf>
    <xf numFmtId="168" fontId="15" fillId="0" borderId="2" xfId="0" applyNumberFormat="1" applyFont="1" applyBorder="1" applyAlignment="1">
      <alignment horizontal="center" vertical="center" wrapText="1"/>
    </xf>
    <xf numFmtId="9" fontId="3" fillId="0" borderId="0" xfId="0" applyNumberFormat="1" applyFont="1"/>
    <xf numFmtId="174" fontId="36" fillId="0" borderId="0" xfId="0" applyNumberFormat="1" applyFont="1" applyAlignment="1">
      <alignment horizontal="center" vertical="center" wrapText="1"/>
    </xf>
    <xf numFmtId="165" fontId="36" fillId="0" borderId="2" xfId="0" applyNumberFormat="1" applyFont="1" applyBorder="1" applyAlignment="1">
      <alignment horizontal="center" vertical="center" wrapText="1"/>
    </xf>
    <xf numFmtId="14" fontId="3" fillId="16" borderId="0" xfId="0" applyNumberFormat="1" applyFont="1" applyFill="1"/>
    <xf numFmtId="173" fontId="71" fillId="16" borderId="0" xfId="0" applyNumberFormat="1" applyFont="1" applyFill="1"/>
    <xf numFmtId="0" fontId="7" fillId="16" borderId="0" xfId="2" applyFont="1" applyFill="1"/>
    <xf numFmtId="0" fontId="3" fillId="24" borderId="13" xfId="0" applyFont="1" applyFill="1" applyBorder="1" applyAlignment="1">
      <alignment horizontal="center" vertical="center" wrapText="1"/>
    </xf>
    <xf numFmtId="0" fontId="3" fillId="24" borderId="8" xfId="0" applyFont="1" applyFill="1" applyBorder="1" applyAlignment="1">
      <alignment horizontal="center" vertical="center" wrapText="1"/>
    </xf>
    <xf numFmtId="0" fontId="3" fillId="24" borderId="11" xfId="0" applyFont="1" applyFill="1" applyBorder="1" applyAlignment="1">
      <alignment horizontal="center" vertical="center" wrapText="1"/>
    </xf>
    <xf numFmtId="0" fontId="3" fillId="24" borderId="9" xfId="0" applyFont="1" applyFill="1" applyBorder="1" applyAlignment="1">
      <alignment horizontal="center" vertical="center" wrapText="1"/>
    </xf>
    <xf numFmtId="0" fontId="3" fillId="24" borderId="14" xfId="0" applyFont="1" applyFill="1" applyBorder="1" applyAlignment="1">
      <alignment horizontal="center" vertical="center" wrapText="1"/>
    </xf>
    <xf numFmtId="0" fontId="3" fillId="24" borderId="0" xfId="0" applyFont="1" applyFill="1" applyAlignment="1">
      <alignment horizontal="center" vertical="center" wrapText="1"/>
    </xf>
    <xf numFmtId="0" fontId="57" fillId="16" borderId="0" xfId="4" applyFont="1" applyFill="1" applyAlignment="1" applyProtection="1">
      <alignment horizontal="left" vertical="center"/>
    </xf>
    <xf numFmtId="0" fontId="58" fillId="16" borderId="0" xfId="0" applyFont="1" applyFill="1"/>
    <xf numFmtId="0" fontId="73" fillId="21" borderId="0" xfId="0" applyFont="1" applyFill="1" applyAlignment="1">
      <alignment horizontal="right" vertical="center"/>
    </xf>
    <xf numFmtId="0" fontId="12" fillId="16" borderId="0" xfId="0" applyFont="1" applyFill="1" applyAlignment="1">
      <alignment vertical="center"/>
    </xf>
    <xf numFmtId="0" fontId="12" fillId="16" borderId="0" xfId="0" applyFont="1" applyFill="1"/>
    <xf numFmtId="169" fontId="0" fillId="0" borderId="2" xfId="0" applyNumberFormat="1" applyBorder="1" applyAlignment="1">
      <alignment horizontal="center" vertical="center" wrapText="1"/>
    </xf>
    <xf numFmtId="0" fontId="48" fillId="3" borderId="6" xfId="0" applyFont="1" applyFill="1" applyBorder="1" applyAlignment="1">
      <alignment horizontal="center" vertical="center" wrapText="1"/>
    </xf>
    <xf numFmtId="0" fontId="48" fillId="3" borderId="25" xfId="0" applyFont="1" applyFill="1" applyBorder="1" applyAlignment="1">
      <alignment horizontal="center" vertical="center" wrapText="1"/>
    </xf>
    <xf numFmtId="0" fontId="48" fillId="3" borderId="40" xfId="0" applyFont="1" applyFill="1" applyBorder="1" applyAlignment="1">
      <alignment horizontal="center" vertical="center" wrapText="1"/>
    </xf>
    <xf numFmtId="0" fontId="60" fillId="7" borderId="10" xfId="0" applyFont="1" applyFill="1" applyBorder="1" applyAlignment="1">
      <alignment horizontal="center" vertical="center" wrapText="1"/>
    </xf>
    <xf numFmtId="0" fontId="3" fillId="16" borderId="0" xfId="0" applyFont="1" applyFill="1" applyAlignment="1" applyProtection="1">
      <alignment vertical="center"/>
      <protection locked="0"/>
    </xf>
    <xf numFmtId="4" fontId="3" fillId="0" borderId="0" xfId="0" applyNumberFormat="1" applyFont="1" applyAlignment="1">
      <alignment horizontal="center" vertical="center" wrapText="1"/>
    </xf>
    <xf numFmtId="0" fontId="48" fillId="3" borderId="3" xfId="0" applyFont="1" applyFill="1" applyBorder="1" applyAlignment="1" applyProtection="1">
      <alignment horizontal="center" vertical="center" wrapText="1"/>
      <protection locked="0"/>
    </xf>
    <xf numFmtId="0" fontId="15" fillId="10" borderId="15" xfId="0" applyFont="1" applyFill="1" applyBorder="1" applyAlignment="1">
      <alignment horizontal="center" vertical="center" wrapText="1"/>
    </xf>
    <xf numFmtId="0" fontId="15" fillId="13" borderId="15"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15" borderId="15" xfId="0" applyFont="1" applyFill="1" applyBorder="1" applyAlignment="1">
      <alignment horizontal="center" vertical="center" wrapText="1"/>
    </xf>
    <xf numFmtId="0" fontId="19" fillId="0" borderId="21" xfId="0" applyFont="1" applyBorder="1"/>
    <xf numFmtId="165" fontId="3" fillId="0" borderId="21" xfId="0" applyNumberFormat="1" applyFont="1" applyBorder="1" applyAlignment="1">
      <alignment horizontal="center" vertical="center" wrapText="1"/>
    </xf>
    <xf numFmtId="165" fontId="10" fillId="0" borderId="21" xfId="0" applyNumberFormat="1" applyFont="1" applyBorder="1" applyAlignment="1">
      <alignment horizontal="center" vertical="center" wrapText="1"/>
    </xf>
    <xf numFmtId="164" fontId="3" fillId="0" borderId="21" xfId="0" applyNumberFormat="1" applyFont="1" applyBorder="1" applyAlignment="1">
      <alignment horizontal="center"/>
    </xf>
    <xf numFmtId="173" fontId="3" fillId="0" borderId="21" xfId="0" applyNumberFormat="1" applyFont="1" applyBorder="1" applyAlignment="1">
      <alignment horizontal="center"/>
    </xf>
    <xf numFmtId="164" fontId="10" fillId="0" borderId="21" xfId="0" applyNumberFormat="1" applyFont="1" applyBorder="1" applyAlignment="1">
      <alignment horizontal="center"/>
    </xf>
    <xf numFmtId="0" fontId="18" fillId="12" borderId="21" xfId="0" applyFont="1" applyFill="1" applyBorder="1"/>
    <xf numFmtId="165" fontId="21" fillId="12" borderId="21" xfId="0" applyNumberFormat="1" applyFont="1" applyFill="1" applyBorder="1" applyAlignment="1">
      <alignment horizontal="center" vertical="center" wrapText="1"/>
    </xf>
    <xf numFmtId="164" fontId="18" fillId="12" borderId="21" xfId="0" applyNumberFormat="1" applyFont="1" applyFill="1" applyBorder="1" applyAlignment="1">
      <alignment horizontal="center"/>
    </xf>
    <xf numFmtId="173" fontId="18" fillId="12" borderId="21" xfId="0" applyNumberFormat="1" applyFont="1" applyFill="1" applyBorder="1" applyAlignment="1">
      <alignment horizontal="center"/>
    </xf>
    <xf numFmtId="9" fontId="0" fillId="0" borderId="0" xfId="0" applyNumberFormat="1" applyAlignment="1">
      <alignment horizontal="center" vertical="center"/>
    </xf>
    <xf numFmtId="9" fontId="3" fillId="0" borderId="0" xfId="0" applyNumberFormat="1" applyFont="1" applyAlignment="1">
      <alignment horizontal="center" vertical="center" wrapText="1"/>
    </xf>
    <xf numFmtId="9" fontId="3" fillId="0" borderId="0" xfId="0" applyNumberFormat="1" applyFont="1" applyAlignment="1">
      <alignment horizontal="center" vertical="center"/>
    </xf>
    <xf numFmtId="4" fontId="3" fillId="0" borderId="0" xfId="0" applyNumberFormat="1" applyFont="1" applyAlignment="1">
      <alignment horizontal="center" vertical="center"/>
    </xf>
    <xf numFmtId="0" fontId="5" fillId="3" borderId="6" xfId="0" applyFont="1" applyFill="1" applyBorder="1" applyAlignment="1">
      <alignment horizontal="center" vertical="center" wrapText="1"/>
    </xf>
    <xf numFmtId="20" fontId="26" fillId="0" borderId="2" xfId="0" applyNumberFormat="1" applyFont="1" applyBorder="1" applyAlignment="1">
      <alignment horizontal="center" vertical="center" wrapText="1"/>
    </xf>
    <xf numFmtId="0" fontId="6" fillId="21" borderId="0" xfId="0" applyFont="1" applyFill="1" applyAlignment="1">
      <alignment vertical="center" wrapText="1"/>
    </xf>
    <xf numFmtId="0" fontId="27" fillId="16" borderId="0" xfId="0" applyFont="1" applyFill="1" applyAlignment="1">
      <alignment vertical="center" wrapText="1"/>
    </xf>
    <xf numFmtId="0" fontId="27" fillId="16" borderId="4" xfId="0" applyFont="1" applyFill="1" applyBorder="1" applyAlignment="1">
      <alignment vertical="center" wrapText="1"/>
    </xf>
    <xf numFmtId="3" fontId="43" fillId="0" borderId="2" xfId="0" applyNumberFormat="1" applyFont="1" applyBorder="1" applyAlignment="1">
      <alignment horizontal="center" vertical="center" wrapText="1"/>
    </xf>
    <xf numFmtId="164" fontId="46" fillId="16" borderId="0" xfId="0" applyNumberFormat="1" applyFont="1" applyFill="1"/>
    <xf numFmtId="0" fontId="11" fillId="16" borderId="45" xfId="0" applyFont="1" applyFill="1" applyBorder="1"/>
    <xf numFmtId="0" fontId="63" fillId="22" borderId="40" xfId="0" applyFont="1" applyFill="1" applyBorder="1" applyAlignment="1">
      <alignment vertical="center"/>
    </xf>
    <xf numFmtId="14" fontId="62" fillId="3" borderId="40" xfId="1" applyNumberFormat="1" applyFont="1" applyFill="1" applyBorder="1" applyAlignment="1" applyProtection="1">
      <alignment horizontal="left" vertical="center" indent="2"/>
      <protection locked="0"/>
    </xf>
    <xf numFmtId="0" fontId="63" fillId="22" borderId="4" xfId="0" applyFont="1" applyFill="1" applyBorder="1" applyAlignment="1">
      <alignment vertical="center"/>
    </xf>
    <xf numFmtId="14" fontId="62" fillId="3" borderId="4" xfId="1" applyNumberFormat="1" applyFont="1" applyFill="1" applyBorder="1" applyAlignment="1" applyProtection="1">
      <alignment horizontal="left" vertical="center" indent="2"/>
      <protection locked="0"/>
    </xf>
    <xf numFmtId="0" fontId="15" fillId="25" borderId="20" xfId="0" applyFont="1" applyFill="1" applyBorder="1" applyAlignment="1">
      <alignment horizontal="center" vertical="center" wrapText="1"/>
    </xf>
    <xf numFmtId="0" fontId="12" fillId="25" borderId="0" xfId="0" applyFont="1" applyFill="1"/>
    <xf numFmtId="0" fontId="65" fillId="16" borderId="0" xfId="0" applyFont="1" applyFill="1" applyAlignment="1" applyProtection="1">
      <alignment wrapText="1"/>
      <protection locked="0"/>
    </xf>
    <xf numFmtId="0" fontId="3" fillId="16" borderId="0" xfId="0" applyFont="1" applyFill="1" applyProtection="1">
      <protection locked="0"/>
    </xf>
    <xf numFmtId="0" fontId="21" fillId="3" borderId="0" xfId="0" applyFont="1" applyFill="1" applyAlignment="1" applyProtection="1">
      <alignment vertical="center"/>
      <protection locked="0"/>
    </xf>
    <xf numFmtId="0" fontId="3" fillId="3" borderId="0" xfId="0" applyFont="1" applyFill="1" applyProtection="1">
      <protection locked="0"/>
    </xf>
    <xf numFmtId="0" fontId="53" fillId="16" borderId="0" xfId="0" applyFont="1" applyFill="1" applyAlignment="1" applyProtection="1">
      <alignment vertical="center" wrapText="1"/>
      <protection locked="0"/>
    </xf>
    <xf numFmtId="4" fontId="49" fillId="3" borderId="0" xfId="0" applyNumberFormat="1" applyFont="1" applyFill="1" applyAlignment="1" applyProtection="1">
      <alignment vertical="center"/>
      <protection locked="0"/>
    </xf>
    <xf numFmtId="0" fontId="75" fillId="16" borderId="0" xfId="0" applyFont="1" applyFill="1" applyAlignment="1" applyProtection="1">
      <alignment horizontal="left"/>
      <protection locked="0"/>
    </xf>
    <xf numFmtId="0" fontId="3" fillId="16" borderId="0" xfId="0" applyFont="1" applyFill="1" applyAlignment="1" applyProtection="1">
      <alignment horizontal="left"/>
      <protection locked="0"/>
    </xf>
    <xf numFmtId="0" fontId="3" fillId="16" borderId="0" xfId="0" applyFont="1" applyFill="1" applyAlignment="1" applyProtection="1">
      <alignment wrapText="1"/>
      <protection locked="0"/>
    </xf>
    <xf numFmtId="0" fontId="53" fillId="16" borderId="0" xfId="0" applyFont="1" applyFill="1" applyAlignment="1" applyProtection="1">
      <alignment horizontal="left" vertical="center" wrapText="1"/>
      <protection locked="0"/>
    </xf>
    <xf numFmtId="171" fontId="49" fillId="16" borderId="0" xfId="0" applyNumberFormat="1" applyFont="1" applyFill="1" applyAlignment="1" applyProtection="1">
      <alignment horizontal="center" vertical="center" wrapText="1"/>
      <protection locked="0"/>
    </xf>
    <xf numFmtId="0" fontId="53" fillId="16" borderId="0" xfId="0" quotePrefix="1" applyFont="1" applyFill="1" applyProtection="1">
      <protection locked="0"/>
    </xf>
    <xf numFmtId="169" fontId="59" fillId="16" borderId="0" xfId="0" quotePrefix="1" applyNumberFormat="1" applyFont="1" applyFill="1" applyAlignment="1" applyProtection="1">
      <alignment horizontal="center" vertical="center" wrapText="1"/>
      <protection locked="0"/>
    </xf>
    <xf numFmtId="169" fontId="53" fillId="16" borderId="0" xfId="0" applyNumberFormat="1" applyFont="1" applyFill="1" applyAlignment="1" applyProtection="1">
      <alignment horizontal="center" vertical="center" wrapText="1"/>
      <protection locked="0"/>
    </xf>
    <xf numFmtId="9" fontId="53" fillId="16" borderId="0" xfId="3" applyFont="1" applyFill="1" applyBorder="1" applyAlignment="1" applyProtection="1">
      <alignment horizontal="center" vertical="center" wrapText="1"/>
      <protection locked="0"/>
    </xf>
    <xf numFmtId="0" fontId="58" fillId="16" borderId="0" xfId="0" applyFont="1" applyFill="1" applyAlignment="1" applyProtection="1">
      <alignment horizontal="right" vertical="center" wrapText="1"/>
      <protection locked="0"/>
    </xf>
    <xf numFmtId="9" fontId="3" fillId="16" borderId="0" xfId="0" applyNumberFormat="1" applyFont="1" applyFill="1" applyAlignment="1" applyProtection="1">
      <alignment wrapText="1"/>
      <protection locked="0"/>
    </xf>
    <xf numFmtId="0" fontId="21" fillId="16" borderId="0" xfId="0" applyFont="1" applyFill="1" applyAlignment="1" applyProtection="1">
      <alignment vertical="center"/>
      <protection locked="0"/>
    </xf>
    <xf numFmtId="0" fontId="50" fillId="16" borderId="0" xfId="0" applyFont="1" applyFill="1" applyProtection="1">
      <protection locked="0"/>
    </xf>
    <xf numFmtId="4" fontId="49" fillId="16" borderId="0" xfId="0" applyNumberFormat="1" applyFont="1" applyFill="1" applyAlignment="1" applyProtection="1">
      <alignment vertical="center"/>
      <protection locked="0"/>
    </xf>
    <xf numFmtId="0" fontId="3" fillId="17" borderId="0" xfId="0" applyFont="1" applyFill="1" applyProtection="1">
      <protection locked="0"/>
    </xf>
    <xf numFmtId="0" fontId="49" fillId="16" borderId="0" xfId="0" applyFont="1" applyFill="1" applyAlignment="1" applyProtection="1">
      <alignment vertical="center"/>
      <protection locked="0"/>
    </xf>
    <xf numFmtId="0" fontId="3" fillId="20" borderId="0" xfId="0" applyFont="1" applyFill="1" applyProtection="1">
      <protection locked="0"/>
    </xf>
    <xf numFmtId="0" fontId="50" fillId="16" borderId="0" xfId="0" applyFont="1" applyFill="1" applyAlignment="1" applyProtection="1">
      <alignment horizontal="center"/>
      <protection locked="0"/>
    </xf>
    <xf numFmtId="0" fontId="50" fillId="16" borderId="0" xfId="0" applyFont="1" applyFill="1" applyAlignment="1" applyProtection="1">
      <alignment horizontal="left"/>
      <protection locked="0"/>
    </xf>
    <xf numFmtId="0" fontId="3" fillId="18" borderId="0" xfId="0" applyFont="1" applyFill="1" applyProtection="1">
      <protection locked="0"/>
    </xf>
    <xf numFmtId="0" fontId="53" fillId="16" borderId="0" xfId="0" applyFont="1" applyFill="1" applyAlignment="1" applyProtection="1">
      <alignment vertical="center"/>
      <protection locked="0"/>
    </xf>
    <xf numFmtId="0" fontId="56" fillId="16" borderId="0" xfId="0" applyFont="1" applyFill="1" applyAlignment="1" applyProtection="1">
      <alignment horizontal="left" vertical="center" wrapText="1" indent="2"/>
      <protection locked="0"/>
    </xf>
    <xf numFmtId="0" fontId="55" fillId="16" borderId="0" xfId="0" applyFont="1" applyFill="1" applyAlignment="1" applyProtection="1">
      <alignment vertical="top" wrapText="1"/>
      <protection locked="0"/>
    </xf>
    <xf numFmtId="0" fontId="36" fillId="16" borderId="0" xfId="0" applyFont="1" applyFill="1" applyAlignment="1" applyProtection="1">
      <alignment vertical="center" wrapText="1"/>
      <protection locked="0"/>
    </xf>
    <xf numFmtId="0" fontId="3" fillId="19" borderId="0" xfId="0" applyFont="1" applyFill="1" applyProtection="1">
      <protection locked="0"/>
    </xf>
    <xf numFmtId="0" fontId="53" fillId="16" borderId="0" xfId="0" applyFont="1" applyFill="1" applyProtection="1">
      <protection locked="0"/>
    </xf>
    <xf numFmtId="169" fontId="52" fillId="16" borderId="0" xfId="0" applyNumberFormat="1" applyFont="1" applyFill="1" applyAlignment="1" applyProtection="1">
      <alignment horizontal="center" vertical="center" wrapText="1"/>
      <protection locked="0"/>
    </xf>
    <xf numFmtId="0" fontId="54" fillId="16" borderId="0" xfId="0" quotePrefix="1" applyFont="1" applyFill="1" applyAlignment="1" applyProtection="1">
      <alignment horizontal="left" vertical="center" indent="1"/>
      <protection locked="0"/>
    </xf>
    <xf numFmtId="0" fontId="3" fillId="16" borderId="0" xfId="0" applyFont="1" applyFill="1" applyAlignment="1" applyProtection="1">
      <alignment horizontal="center"/>
      <protection locked="0"/>
    </xf>
    <xf numFmtId="0" fontId="54" fillId="16" borderId="0" xfId="0" quotePrefix="1" applyFont="1" applyFill="1" applyAlignment="1" applyProtection="1">
      <alignment horizontal="left" indent="1"/>
      <protection locked="0"/>
    </xf>
    <xf numFmtId="0" fontId="3" fillId="16" borderId="0" xfId="0" applyFont="1" applyFill="1" applyAlignment="1" applyProtection="1">
      <alignment horizontal="right" vertical="center"/>
      <protection locked="0"/>
    </xf>
    <xf numFmtId="0" fontId="3" fillId="16" borderId="0" xfId="0" quotePrefix="1" applyFont="1" applyFill="1" applyAlignment="1" applyProtection="1">
      <alignment horizontal="center"/>
      <protection locked="0"/>
    </xf>
    <xf numFmtId="0" fontId="3" fillId="16" borderId="0" xfId="0" quotePrefix="1" applyFont="1" applyFill="1" applyProtection="1">
      <protection locked="0"/>
    </xf>
    <xf numFmtId="0" fontId="65" fillId="16" borderId="0" xfId="0" applyFont="1" applyFill="1" applyAlignment="1">
      <alignment wrapText="1"/>
    </xf>
    <xf numFmtId="0" fontId="53" fillId="16" borderId="0" xfId="0" applyFont="1" applyFill="1" applyAlignment="1">
      <alignment horizontal="left" vertical="center" wrapText="1"/>
    </xf>
    <xf numFmtId="0" fontId="54" fillId="16" borderId="0" xfId="0" quotePrefix="1" applyFont="1" applyFill="1" applyAlignment="1">
      <alignment horizontal="left" vertical="center" indent="1"/>
    </xf>
    <xf numFmtId="169" fontId="53" fillId="16" borderId="0" xfId="0" applyNumberFormat="1" applyFont="1" applyFill="1" applyAlignment="1">
      <alignment horizontal="center" vertical="center" wrapText="1"/>
    </xf>
    <xf numFmtId="0" fontId="53" fillId="23" borderId="31" xfId="0" quotePrefix="1" applyFont="1" applyFill="1" applyBorder="1"/>
    <xf numFmtId="0" fontId="3" fillId="16" borderId="29" xfId="0" applyFont="1" applyFill="1" applyBorder="1"/>
    <xf numFmtId="0" fontId="53" fillId="23" borderId="30" xfId="0" quotePrefix="1" applyFont="1" applyFill="1" applyBorder="1"/>
    <xf numFmtId="0" fontId="3" fillId="16" borderId="0" xfId="0" applyFont="1" applyFill="1" applyAlignment="1">
      <alignment horizontal="center"/>
    </xf>
    <xf numFmtId="0" fontId="3" fillId="16" borderId="0" xfId="0" applyFont="1" applyFill="1" applyAlignment="1">
      <alignment horizontal="right"/>
    </xf>
    <xf numFmtId="0" fontId="36" fillId="16" borderId="0" xfId="0" applyFont="1" applyFill="1" applyAlignment="1">
      <alignment vertical="center" wrapText="1"/>
    </xf>
    <xf numFmtId="0" fontId="68" fillId="16" borderId="0" xfId="0" applyFont="1" applyFill="1" applyAlignment="1">
      <alignment wrapText="1"/>
    </xf>
    <xf numFmtId="0" fontId="68" fillId="16" borderId="0" xfId="0" applyFont="1" applyFill="1"/>
    <xf numFmtId="0" fontId="69" fillId="4" borderId="30" xfId="0" applyFont="1" applyFill="1" applyBorder="1" applyAlignment="1">
      <alignment horizontal="center" vertical="center" wrapText="1"/>
    </xf>
    <xf numFmtId="0" fontId="68" fillId="16" borderId="29" xfId="0" applyFont="1" applyFill="1" applyBorder="1"/>
    <xf numFmtId="0" fontId="70" fillId="16" borderId="0" xfId="0" quotePrefix="1" applyFont="1" applyFill="1" applyAlignment="1">
      <alignment horizontal="center"/>
    </xf>
    <xf numFmtId="169" fontId="70" fillId="16" borderId="0" xfId="0" applyNumberFormat="1" applyFont="1" applyFill="1" applyAlignment="1">
      <alignment horizontal="center" vertical="center" wrapText="1"/>
    </xf>
    <xf numFmtId="0" fontId="10" fillId="16" borderId="0" xfId="0" applyFont="1" applyFill="1" applyAlignment="1">
      <alignment horizontal="center" vertical="center"/>
    </xf>
    <xf numFmtId="172" fontId="3" fillId="0" borderId="28" xfId="0" applyNumberFormat="1" applyFont="1" applyBorder="1" applyAlignment="1">
      <alignment horizontal="center"/>
    </xf>
    <xf numFmtId="172" fontId="3" fillId="16" borderId="0" xfId="0" applyNumberFormat="1" applyFont="1" applyFill="1"/>
    <xf numFmtId="172" fontId="3" fillId="0" borderId="37" xfId="0" applyNumberFormat="1" applyFont="1" applyBorder="1" applyAlignment="1">
      <alignment horizontal="center"/>
    </xf>
    <xf numFmtId="172" fontId="3" fillId="16" borderId="0" xfId="0" applyNumberFormat="1" applyFont="1" applyFill="1" applyAlignment="1">
      <alignment wrapText="1"/>
    </xf>
    <xf numFmtId="165" fontId="3" fillId="0" borderId="37" xfId="0" applyNumberFormat="1" applyFont="1" applyBorder="1" applyAlignment="1">
      <alignment horizontal="center"/>
    </xf>
    <xf numFmtId="172" fontId="3" fillId="16" borderId="17" xfId="0" applyNumberFormat="1" applyFont="1" applyFill="1" applyBorder="1"/>
    <xf numFmtId="172" fontId="56" fillId="16" borderId="0" xfId="0" applyNumberFormat="1" applyFont="1" applyFill="1" applyAlignment="1">
      <alignment horizontal="left" vertical="center" wrapText="1" indent="3"/>
    </xf>
    <xf numFmtId="172" fontId="55" fillId="16" borderId="0" xfId="0" applyNumberFormat="1" applyFont="1" applyFill="1" applyAlignment="1">
      <alignment vertical="top" wrapText="1"/>
    </xf>
    <xf numFmtId="165" fontId="3" fillId="0" borderId="28" xfId="0" applyNumberFormat="1" applyFont="1" applyBorder="1" applyAlignment="1">
      <alignment horizontal="center"/>
    </xf>
    <xf numFmtId="172" fontId="3" fillId="0" borderId="38" xfId="0" applyNumberFormat="1" applyFont="1" applyBorder="1" applyAlignment="1">
      <alignment horizontal="center" vertical="top" wrapText="1"/>
    </xf>
    <xf numFmtId="172" fontId="3" fillId="0" borderId="17" xfId="0" applyNumberFormat="1" applyFont="1" applyBorder="1" applyAlignment="1">
      <alignment horizontal="center" vertical="top" wrapText="1"/>
    </xf>
    <xf numFmtId="165" fontId="3" fillId="0" borderId="16" xfId="0" applyNumberFormat="1" applyFont="1" applyBorder="1" applyAlignment="1">
      <alignment horizontal="center" vertical="top" wrapText="1"/>
    </xf>
    <xf numFmtId="172" fontId="3" fillId="16" borderId="18" xfId="0" applyNumberFormat="1" applyFont="1" applyFill="1" applyBorder="1"/>
    <xf numFmtId="172" fontId="53" fillId="16" borderId="17" xfId="0" applyNumberFormat="1" applyFont="1" applyFill="1" applyBorder="1"/>
    <xf numFmtId="172" fontId="52" fillId="16" borderId="0" xfId="0" applyNumberFormat="1" applyFont="1" applyFill="1" applyAlignment="1">
      <alignment horizontal="center" vertical="center" wrapText="1"/>
    </xf>
    <xf numFmtId="0" fontId="3" fillId="16" borderId="41" xfId="0" applyFont="1" applyFill="1" applyBorder="1"/>
    <xf numFmtId="0" fontId="54" fillId="16" borderId="17" xfId="0" quotePrefix="1" applyFont="1" applyFill="1" applyBorder="1" applyAlignment="1">
      <alignment horizontal="left" indent="1"/>
    </xf>
    <xf numFmtId="172" fontId="3" fillId="0" borderId="16" xfId="0" applyNumberFormat="1" applyFont="1" applyBorder="1" applyAlignment="1">
      <alignment horizontal="center" vertical="center"/>
    </xf>
    <xf numFmtId="172" fontId="3" fillId="16" borderId="42" xfId="0" applyNumberFormat="1" applyFont="1" applyFill="1" applyBorder="1" applyAlignment="1">
      <alignment horizontal="center" vertical="center"/>
    </xf>
    <xf numFmtId="165" fontId="3" fillId="0" borderId="17" xfId="0" applyNumberFormat="1" applyFont="1" applyBorder="1" applyAlignment="1">
      <alignment horizontal="center" vertical="center"/>
    </xf>
    <xf numFmtId="172" fontId="54" fillId="16" borderId="17" xfId="0" quotePrefix="1" applyNumberFormat="1" applyFont="1" applyFill="1" applyBorder="1" applyAlignment="1">
      <alignment horizontal="left" indent="1"/>
    </xf>
    <xf numFmtId="172" fontId="53" fillId="16" borderId="0" xfId="0" applyNumberFormat="1" applyFont="1" applyFill="1" applyAlignment="1">
      <alignment horizontal="center" vertical="center" wrapText="1"/>
    </xf>
    <xf numFmtId="0" fontId="15" fillId="9" borderId="20" xfId="0" applyFont="1" applyFill="1" applyBorder="1" applyAlignment="1">
      <alignment horizontal="center" vertical="center" wrapText="1"/>
    </xf>
    <xf numFmtId="0" fontId="15" fillId="14" borderId="20" xfId="0" applyFont="1" applyFill="1" applyBorder="1" applyAlignment="1">
      <alignment horizontal="center" vertical="center" wrapText="1"/>
    </xf>
    <xf numFmtId="0" fontId="3" fillId="4" borderId="46" xfId="0" applyFont="1" applyFill="1" applyBorder="1" applyAlignment="1">
      <alignment vertical="center" wrapText="1"/>
    </xf>
    <xf numFmtId="0" fontId="78" fillId="26" borderId="2" xfId="5" applyFont="1" applyFill="1" applyBorder="1" applyAlignment="1">
      <alignment vertical="center" wrapText="1"/>
    </xf>
    <xf numFmtId="0" fontId="78" fillId="0" borderId="2" xfId="5" applyFont="1" applyBorder="1" applyAlignment="1">
      <alignment vertical="center" wrapText="1"/>
    </xf>
    <xf numFmtId="17" fontId="3" fillId="0" borderId="0" xfId="0" applyNumberFormat="1" applyFont="1" applyAlignment="1">
      <alignment horizontal="center" vertical="center" wrapText="1"/>
    </xf>
    <xf numFmtId="0" fontId="3" fillId="24" borderId="9" xfId="0" applyFont="1" applyFill="1" applyBorder="1" applyAlignment="1">
      <alignment horizontal="left" vertical="center" wrapText="1" indent="1"/>
    </xf>
    <xf numFmtId="0" fontId="3" fillId="24" borderId="12" xfId="0" applyFont="1" applyFill="1" applyBorder="1" applyAlignment="1">
      <alignment horizontal="left" vertical="center" wrapText="1" indent="1"/>
    </xf>
    <xf numFmtId="0" fontId="73" fillId="21" borderId="0" xfId="0" applyFont="1" applyFill="1" applyAlignment="1">
      <alignment horizontal="left" vertical="center"/>
    </xf>
    <xf numFmtId="0" fontId="73" fillId="21" borderId="0" xfId="0" applyFont="1" applyFill="1" applyAlignment="1">
      <alignment horizontal="center" vertical="center"/>
    </xf>
    <xf numFmtId="0" fontId="76" fillId="16" borderId="9" xfId="0" applyFont="1" applyFill="1" applyBorder="1" applyAlignment="1">
      <alignment horizontal="center" vertical="center"/>
    </xf>
    <xf numFmtId="0" fontId="60" fillId="7" borderId="10" xfId="0" applyFont="1" applyFill="1" applyBorder="1" applyAlignment="1">
      <alignment horizontal="center" vertical="center" wrapText="1"/>
    </xf>
    <xf numFmtId="0" fontId="57" fillId="16" borderId="0" xfId="4" applyFont="1" applyFill="1" applyAlignment="1" applyProtection="1">
      <alignment horizontal="center" vertical="center"/>
    </xf>
    <xf numFmtId="0" fontId="6" fillId="21" borderId="0" xfId="0" applyFont="1" applyFill="1" applyAlignment="1">
      <alignment horizontal="center" vertical="center"/>
    </xf>
    <xf numFmtId="0" fontId="37" fillId="16" borderId="0" xfId="0" applyFont="1" applyFill="1" applyAlignment="1">
      <alignment horizontal="left" vertical="center" wrapText="1"/>
    </xf>
    <xf numFmtId="0" fontId="60" fillId="10" borderId="0" xfId="0" applyFont="1" applyFill="1" applyAlignment="1">
      <alignment horizontal="center" vertical="center" wrapText="1"/>
    </xf>
    <xf numFmtId="0" fontId="60" fillId="10" borderId="5" xfId="0" applyFont="1" applyFill="1" applyBorder="1" applyAlignment="1">
      <alignment horizontal="center" vertical="center" wrapText="1"/>
    </xf>
    <xf numFmtId="0" fontId="11" fillId="16" borderId="0" xfId="0" applyFont="1" applyFill="1" applyAlignment="1">
      <alignment horizontal="left" vertical="center" wrapText="1"/>
    </xf>
    <xf numFmtId="0" fontId="11" fillId="16" borderId="0" xfId="0" applyFont="1" applyFill="1" applyAlignment="1">
      <alignment horizontal="left" vertical="center"/>
    </xf>
    <xf numFmtId="0" fontId="24" fillId="21" borderId="0" xfId="0" applyFont="1" applyFill="1" applyAlignment="1">
      <alignment horizontal="center" vertical="center"/>
    </xf>
    <xf numFmtId="0" fontId="15" fillId="11" borderId="20" xfId="0" applyFont="1" applyFill="1" applyBorder="1" applyAlignment="1">
      <alignment horizontal="center" vertical="center" wrapText="1"/>
    </xf>
    <xf numFmtId="0" fontId="64" fillId="21" borderId="20" xfId="0" applyFont="1" applyFill="1" applyBorder="1" applyAlignment="1">
      <alignment horizontal="center" vertical="center" wrapText="1"/>
    </xf>
    <xf numFmtId="0" fontId="64" fillId="21" borderId="15" xfId="0" applyFont="1" applyFill="1" applyBorder="1" applyAlignment="1">
      <alignment horizontal="center" vertical="center" wrapText="1"/>
    </xf>
    <xf numFmtId="0" fontId="23" fillId="21" borderId="20" xfId="0" applyFont="1" applyFill="1" applyBorder="1" applyAlignment="1">
      <alignment horizontal="center" vertical="center" wrapText="1"/>
    </xf>
    <xf numFmtId="0" fontId="23" fillId="21" borderId="15" xfId="0" applyFont="1" applyFill="1" applyBorder="1" applyAlignment="1">
      <alignment horizontal="center" vertical="center" wrapText="1"/>
    </xf>
    <xf numFmtId="0" fontId="74" fillId="16" borderId="0" xfId="0" applyFont="1" applyFill="1" applyAlignment="1">
      <alignment horizontal="left" vertical="center" wrapText="1" indent="2"/>
    </xf>
    <xf numFmtId="0" fontId="72" fillId="16" borderId="0" xfId="0" applyFont="1" applyFill="1" applyAlignment="1" applyProtection="1">
      <alignment horizontal="center" wrapText="1"/>
      <protection locked="0"/>
    </xf>
    <xf numFmtId="0" fontId="50" fillId="16" borderId="0" xfId="0" applyFont="1" applyFill="1" applyAlignment="1" applyProtection="1">
      <alignment horizontal="center"/>
      <protection locked="0"/>
    </xf>
    <xf numFmtId="0" fontId="3" fillId="0" borderId="0" xfId="0" applyFont="1" applyAlignment="1">
      <alignment horizontal="center" vertical="center"/>
    </xf>
    <xf numFmtId="0" fontId="3" fillId="0" borderId="19" xfId="0" applyFont="1" applyBorder="1" applyAlignment="1">
      <alignment horizontal="center" vertical="center"/>
    </xf>
    <xf numFmtId="0" fontId="21" fillId="16" borderId="0" xfId="0" applyFont="1" applyFill="1" applyAlignment="1" applyProtection="1">
      <alignment horizontal="center" vertical="top" wrapText="1"/>
      <protection locked="0"/>
    </xf>
    <xf numFmtId="0" fontId="3" fillId="0" borderId="0" xfId="0" applyFont="1" applyAlignment="1">
      <alignment horizontal="center" wrapText="1"/>
    </xf>
    <xf numFmtId="0" fontId="3" fillId="0" borderId="26" xfId="0" applyFont="1" applyBorder="1" applyAlignment="1">
      <alignment horizontal="center" vertical="top" wrapText="1"/>
    </xf>
    <xf numFmtId="0" fontId="3" fillId="0" borderId="27" xfId="0" applyFont="1" applyBorder="1" applyAlignment="1">
      <alignment horizontal="center" vertical="top" wrapText="1"/>
    </xf>
    <xf numFmtId="9" fontId="3" fillId="0" borderId="22" xfId="0" applyNumberFormat="1" applyFont="1" applyBorder="1" applyAlignment="1">
      <alignment horizontal="center" vertical="center"/>
    </xf>
    <xf numFmtId="0" fontId="3" fillId="0" borderId="22" xfId="0" applyFont="1" applyBorder="1" applyAlignment="1">
      <alignment horizontal="center" vertical="center"/>
    </xf>
    <xf numFmtId="0" fontId="67" fillId="16" borderId="0" xfId="0" applyFont="1" applyFill="1" applyAlignment="1">
      <alignment horizontal="center" wrapText="1"/>
    </xf>
    <xf numFmtId="9" fontId="3" fillId="0" borderId="43" xfId="0" applyNumberFormat="1" applyFont="1" applyBorder="1" applyAlignment="1">
      <alignment horizontal="center" vertical="center" wrapText="1"/>
    </xf>
    <xf numFmtId="9" fontId="3" fillId="0" borderId="39" xfId="0" applyNumberFormat="1" applyFont="1" applyBorder="1" applyAlignment="1">
      <alignment horizontal="center" vertical="center" wrapText="1"/>
    </xf>
    <xf numFmtId="9" fontId="3" fillId="0" borderId="44" xfId="0" applyNumberFormat="1" applyFont="1" applyBorder="1" applyAlignment="1">
      <alignment horizontal="center" vertical="center" wrapText="1"/>
    </xf>
    <xf numFmtId="0" fontId="36" fillId="3" borderId="0" xfId="0" applyFont="1" applyFill="1" applyAlignment="1">
      <alignment horizontal="left" vertical="center" wrapText="1"/>
    </xf>
    <xf numFmtId="9" fontId="66" fillId="0" borderId="32" xfId="0" applyNumberFormat="1" applyFont="1" applyBorder="1" applyAlignment="1">
      <alignment horizontal="center" vertical="center" wrapText="1"/>
    </xf>
    <xf numFmtId="9" fontId="66" fillId="0" borderId="33" xfId="0" applyNumberFormat="1" applyFont="1" applyBorder="1" applyAlignment="1">
      <alignment horizontal="center" vertical="center" wrapText="1"/>
    </xf>
    <xf numFmtId="9" fontId="66" fillId="0" borderId="34" xfId="0" applyNumberFormat="1" applyFont="1" applyBorder="1" applyAlignment="1">
      <alignment horizontal="center" vertical="center" wrapText="1"/>
    </xf>
    <xf numFmtId="9" fontId="66" fillId="0" borderId="19" xfId="0" applyNumberFormat="1" applyFont="1" applyBorder="1" applyAlignment="1">
      <alignment horizontal="center" vertical="center" wrapText="1"/>
    </xf>
    <xf numFmtId="9" fontId="66" fillId="0" borderId="35" xfId="0" applyNumberFormat="1" applyFont="1" applyBorder="1" applyAlignment="1">
      <alignment horizontal="center" vertical="center" wrapText="1"/>
    </xf>
    <xf numFmtId="9" fontId="66" fillId="0" borderId="36" xfId="0" applyNumberFormat="1" applyFont="1" applyBorder="1" applyAlignment="1">
      <alignment horizontal="center" vertical="center" wrapText="1"/>
    </xf>
    <xf numFmtId="0" fontId="66" fillId="4" borderId="0" xfId="0" applyFont="1" applyFill="1" applyAlignment="1">
      <alignment horizontal="center" vertical="center" wrapText="1"/>
    </xf>
    <xf numFmtId="0" fontId="66" fillId="4" borderId="19" xfId="0" applyFont="1" applyFill="1" applyBorder="1" applyAlignment="1">
      <alignment horizontal="center" vertical="center" wrapText="1"/>
    </xf>
    <xf numFmtId="0" fontId="53" fillId="16" borderId="0" xfId="0" applyFont="1" applyFill="1" applyAlignment="1" applyProtection="1">
      <alignment horizontal="center" vertical="center" wrapText="1"/>
      <protection locked="0"/>
    </xf>
    <xf numFmtId="0" fontId="72" fillId="16" borderId="0" xfId="0" applyFont="1" applyFill="1" applyAlignment="1" applyProtection="1">
      <alignment horizontal="center" vertical="center" wrapText="1"/>
      <protection locked="0"/>
    </xf>
    <xf numFmtId="0" fontId="3" fillId="22" borderId="2" xfId="0" applyFont="1" applyFill="1" applyBorder="1" applyAlignment="1">
      <alignment horizontal="center"/>
    </xf>
    <xf numFmtId="0" fontId="28" fillId="22" borderId="2" xfId="0" applyFont="1" applyFill="1" applyBorder="1" applyAlignment="1">
      <alignment horizontal="center" vertical="center"/>
    </xf>
    <xf numFmtId="0" fontId="3" fillId="0" borderId="0" xfId="0" applyNumberFormat="1" applyFont="1"/>
  </cellXfs>
  <cellStyles count="6">
    <cellStyle name="20% - Accent1" xfId="1" builtinId="30"/>
    <cellStyle name="Hyperlink" xfId="4" builtinId="8"/>
    <cellStyle name="Normal" xfId="0" builtinId="0"/>
    <cellStyle name="Normal 2" xfId="2" xr:uid="{00000000-0005-0000-0000-000002000000}"/>
    <cellStyle name="Normal 3" xfId="5" xr:uid="{6EFE3BD7-6D67-43FC-8D71-0E86ED072530}"/>
    <cellStyle name="Percent" xfId="3" builtinId="5"/>
  </cellStyles>
  <dxfs count="147">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color rgb="FF9C0006"/>
      </font>
      <fill>
        <patternFill>
          <bgColor rgb="FFFFC7CE"/>
        </patternFill>
      </fill>
    </dxf>
    <dxf>
      <font>
        <color theme="2" tint="-0.749961851863155"/>
      </font>
      <fill>
        <patternFill>
          <bgColor theme="2" tint="-0.24994659260841701"/>
        </patternFill>
      </fill>
    </dxf>
    <dxf>
      <font>
        <color theme="2" tint="-0.749961851863155"/>
      </font>
      <fill>
        <patternFill>
          <bgColor theme="2" tint="-0.24994659260841701"/>
        </patternFill>
      </fill>
    </dxf>
    <dxf>
      <font>
        <color rgb="FF9C0006"/>
      </font>
      <fill>
        <patternFill>
          <bgColor rgb="FFFFC7CE"/>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b val="0"/>
        <i val="0"/>
        <color auto="1"/>
      </font>
      <fill>
        <patternFill>
          <bgColor theme="5" tint="0.59996337778862885"/>
        </patternFill>
      </fill>
    </dxf>
    <dxf>
      <font>
        <color auto="1"/>
      </font>
      <fill>
        <patternFill>
          <bgColor rgb="FFFFFFB3"/>
        </patternFill>
      </fill>
    </dxf>
    <dxf>
      <font>
        <color auto="1"/>
      </font>
      <fill>
        <patternFill>
          <bgColor theme="0" tint="-0.14996795556505021"/>
        </patternFill>
      </fill>
    </dxf>
    <dxf>
      <fill>
        <patternFill>
          <bgColor theme="0"/>
        </patternFill>
      </fill>
    </dxf>
    <dxf>
      <font>
        <color theme="0" tint="-0.499984740745262"/>
      </font>
      <fill>
        <patternFill>
          <bgColor theme="0" tint="-0.24994659260841701"/>
        </patternFill>
      </fill>
    </dxf>
    <dxf>
      <font>
        <b val="0"/>
        <i val="0"/>
        <color auto="1"/>
      </font>
      <fill>
        <patternFill>
          <bgColor theme="5" tint="0.59996337778862885"/>
        </patternFill>
      </fill>
    </dxf>
    <dxf>
      <font>
        <color auto="1"/>
      </font>
      <fill>
        <patternFill>
          <bgColor theme="7" tint="0.79998168889431442"/>
        </patternFill>
      </fill>
    </dxf>
    <dxf>
      <font>
        <color theme="1"/>
      </font>
      <fill>
        <patternFill patternType="solid">
          <bgColor theme="4" tint="0.59996337778862885"/>
        </patternFill>
      </fill>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border diagonalUp="0" diagonalDown="0" outline="0">
        <left style="thin">
          <color indexed="64"/>
        </left>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4" formatCode="#,##0.00"/>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20" formatCode="dd/mmm/yy"/>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border>
      <protection locked="1" hidden="0"/>
    </dxf>
    <dxf>
      <font>
        <strike val="0"/>
        <outline val="0"/>
        <shadow val="0"/>
        <u val="none"/>
        <vertAlign val="baseline"/>
        <name val="Tw Cen MT"/>
        <family val="2"/>
        <scheme val="none"/>
      </font>
      <numFmt numFmtId="20" formatCode="dd/mmm/yy"/>
      <fill>
        <patternFill patternType="none">
          <fgColor indexed="64"/>
          <bgColor auto="1"/>
        </patternFill>
      </fill>
      <alignment horizont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Tw Cen MT"/>
        <family val="2"/>
        <scheme val="none"/>
      </font>
      <fill>
        <patternFill patternType="none">
          <fgColor indexed="64"/>
          <bgColor auto="1"/>
        </patternFill>
      </fill>
    </dxf>
    <dxf>
      <border>
        <bottom style="thin">
          <color indexed="64"/>
        </bottom>
      </border>
    </dxf>
    <dxf>
      <font>
        <b/>
        <strike val="0"/>
        <outline val="0"/>
        <shadow val="0"/>
        <u val="none"/>
        <vertAlign val="baseline"/>
        <name val="Tw Cen MT"/>
        <family val="2"/>
        <scheme val="none"/>
      </font>
      <fill>
        <patternFill patternType="solid">
          <fgColor indexed="64"/>
          <bgColor theme="0" tint="-0.14999847407452621"/>
        </patternFill>
      </fill>
      <alignment vertical="center" textRotation="0" wrapText="0" indent="0" justifyLastLine="0" shrinkToFit="0" readingOrder="0"/>
      <border diagonalUp="0" diagonalDown="0" outline="0">
        <left style="thin">
          <color indexed="64"/>
        </left>
        <right style="thin">
          <color indexed="64"/>
        </right>
        <top/>
        <bottom/>
      </border>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0" tint="-0.34998626667073579"/>
        <name val="Tw Cen MT"/>
        <family val="2"/>
        <scheme val="none"/>
      </font>
      <numFmt numFmtId="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w Cen MT"/>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i val="0"/>
        <strike val="0"/>
        <condense val="0"/>
        <extend val="0"/>
        <outline val="0"/>
        <shadow val="0"/>
        <u val="none"/>
        <vertAlign val="baseline"/>
        <sz val="11"/>
        <color theme="0"/>
        <name val="Tw Cen MT"/>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2" tint="-0.249977111117893"/>
        <name val="Tw Cen MT"/>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theme="4" tint="0.79998168889431442"/>
          <bgColor auto="1"/>
        </patternFill>
      </fill>
      <alignmen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Tw Cen MT"/>
        <family val="2"/>
        <scheme val="none"/>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5" tint="0.79998168889431442"/>
        </patternFill>
      </fill>
    </dxf>
    <dxf>
      <font>
        <name val="Tw Cen MT"/>
        <family val="2"/>
        <scheme val="none"/>
      </font>
      <fill>
        <patternFill>
          <fgColor theme="5" tint="0.39994506668294322"/>
          <bgColor theme="5" tint="0.79998168889431442"/>
        </patternFill>
      </fill>
      <border>
        <left style="thin">
          <color auto="1"/>
        </left>
        <right style="thin">
          <color auto="1"/>
        </right>
        <top style="thin">
          <color auto="1"/>
        </top>
        <bottom style="thin">
          <color auto="1"/>
        </bottom>
      </border>
    </dxf>
    <dxf>
      <font>
        <name val="Tw Cen MT"/>
        <family val="2"/>
        <scheme val="none"/>
      </font>
    </dxf>
    <dxf>
      <fill>
        <patternFill>
          <bgColor theme="5" tint="0.79998168889431442"/>
        </patternFill>
      </fill>
    </dxf>
  </dxfs>
  <tableStyles count="4" defaultTableStyle="TableStyleMedium2" defaultPivotStyle="PivotStyleLight16">
    <tableStyle name="Custom" pivot="0" table="0" count="1" xr9:uid="{DC734EF2-6C3E-42EC-833B-0B8215A11C2F}">
      <tableStyleElement type="wholeTable" dxfId="146"/>
    </tableStyle>
    <tableStyle name="Slicer Style 1" pivot="0" table="0" count="1" xr9:uid="{F57D6513-AC47-4077-9F8D-C40FD9A6BFDA}">
      <tableStyleElement type="wholeTable" dxfId="145"/>
    </tableStyle>
    <tableStyle name="Slicer Style 2" pivot="0" table="0" count="1" xr9:uid="{01BD0BB3-5670-42DB-97C2-63B1C6D3857D}">
      <tableStyleElement type="wholeTable" dxfId="144"/>
    </tableStyle>
    <tableStyle name="Slicer Style 3" pivot="0" table="0" count="1" xr9:uid="{93557E10-2300-44AC-8EEB-27707F876CC7}">
      <tableStyleElement type="headerRow" dxfId="143"/>
    </tableStyle>
  </tableStyles>
  <colors>
    <mruColors>
      <color rgb="FFFFEBDD"/>
      <color rgb="FFFDECE3"/>
      <color rgb="FFFFF4D1"/>
      <color rgb="FFE2AA00"/>
      <color rgb="FFFFD184"/>
      <color rgb="FFFFF3EB"/>
      <color rgb="FFFF4747"/>
      <color rgb="FFC7E7A3"/>
      <color rgb="FFB2DE82"/>
      <color rgb="FFFF7979"/>
    </mruColors>
  </colors>
  <extLst>
    <ext xmlns:x14="http://schemas.microsoft.com/office/spreadsheetml/2009/9/main" uri="{EB79DEF2-80B8-43e5-95BD-54CBDDF9020C}">
      <x14:slicerStyles defaultSlicerStyle="SlicerStyleLight1">
        <x14:slicerStyle name="Custom"/>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 Progress'!$W$32</c:f>
              <c:strCache>
                <c:ptCount val="1"/>
                <c:pt idx="0">
                  <c:v>Syllubus(T)</c:v>
                </c:pt>
              </c:strCache>
            </c:strRef>
          </c:tx>
          <c:spPr>
            <a:solidFill>
              <a:schemeClr val="bg2">
                <a:lumMod val="90000"/>
              </a:schemeClr>
            </a:solidFill>
            <a:ln>
              <a:noFill/>
            </a:ln>
            <a:effectLst/>
          </c:spPr>
          <c:invertIfNegative val="0"/>
          <c:dLbls>
            <c:dLbl>
              <c:idx val="0"/>
              <c:tx>
                <c:rich>
                  <a:bodyPr/>
                  <a:lstStyle/>
                  <a:p>
                    <a:fld id="{739E1B64-3DCD-4ADE-9DE1-6A95601E81D4}"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4EE-422A-8173-85E89CCAC774}"/>
                </c:ext>
              </c:extLst>
            </c:dLbl>
            <c:dLbl>
              <c:idx val="1"/>
              <c:tx>
                <c:rich>
                  <a:bodyPr/>
                  <a:lstStyle/>
                  <a:p>
                    <a:fld id="{D3B192AF-D460-4D20-B689-DF8B5EB506D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4EE-422A-8173-85E89CCAC774}"/>
                </c:ext>
              </c:extLst>
            </c:dLbl>
            <c:dLbl>
              <c:idx val="2"/>
              <c:tx>
                <c:rich>
                  <a:bodyPr/>
                  <a:lstStyle/>
                  <a:p>
                    <a:fld id="{5ED77895-DD82-4C0E-BCE1-10134D634F1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4EE-422A-8173-85E89CCAC774}"/>
                </c:ext>
              </c:extLst>
            </c:dLbl>
            <c:dLbl>
              <c:idx val="3"/>
              <c:tx>
                <c:rich>
                  <a:bodyPr/>
                  <a:lstStyle/>
                  <a:p>
                    <a:fld id="{B5534CA5-2F47-49C9-A511-81CBFD1CCB5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4EE-422A-8173-85E89CCAC774}"/>
                </c:ext>
              </c:extLst>
            </c:dLbl>
            <c:dLbl>
              <c:idx val="4"/>
              <c:tx>
                <c:rich>
                  <a:bodyPr/>
                  <a:lstStyle/>
                  <a:p>
                    <a:fld id="{DD4319A6-F723-4B3B-A3D5-2B1BA8DEC63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4EE-422A-8173-85E89CCAC774}"/>
                </c:ext>
              </c:extLst>
            </c:dLbl>
            <c:dLbl>
              <c:idx val="5"/>
              <c:tx>
                <c:rich>
                  <a:bodyPr/>
                  <a:lstStyle/>
                  <a:p>
                    <a:fld id="{DD821E2C-9A02-4898-B0D6-6310AEBBF77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Progress'!$W$33:$W$38</c:f>
              <c:numCache>
                <c:formatCode>0%</c:formatCode>
                <c:ptCount val="6"/>
                <c:pt idx="0">
                  <c:v>1</c:v>
                </c:pt>
                <c:pt idx="1">
                  <c:v>1</c:v>
                </c:pt>
                <c:pt idx="2">
                  <c:v>1</c:v>
                </c:pt>
                <c:pt idx="3">
                  <c:v>1</c:v>
                </c:pt>
                <c:pt idx="4">
                  <c:v>1</c:v>
                </c:pt>
                <c:pt idx="5">
                  <c:v>1</c:v>
                </c:pt>
              </c:numCache>
            </c:numRef>
          </c:val>
          <c:extLst>
            <c:ext xmlns:c15="http://schemas.microsoft.com/office/drawing/2012/chart" uri="{02D57815-91ED-43cb-92C2-25804820EDAC}">
              <c15:datalabelsRange>
                <c15:f>'📊 Progress'!$O$33:$O$38</c15:f>
                <c15:dlblRangeCache>
                  <c:ptCount val="6"/>
                  <c:pt idx="0">
                    <c:v>16</c:v>
                  </c:pt>
                  <c:pt idx="1">
                    <c:v>23</c:v>
                  </c:pt>
                  <c:pt idx="2">
                    <c:v>24</c:v>
                  </c:pt>
                  <c:pt idx="3">
                    <c:v>19</c:v>
                  </c:pt>
                  <c:pt idx="4">
                    <c:v>11</c:v>
                  </c:pt>
                  <c:pt idx="5">
                    <c:v>10</c:v>
                  </c:pt>
                </c15:dlblRangeCache>
              </c15:datalabelsRange>
            </c:ext>
            <c:ext xmlns:c16="http://schemas.microsoft.com/office/drawing/2014/chart" uri="{C3380CC4-5D6E-409C-BE32-E72D297353CC}">
              <c16:uniqueId val="{0000000A-54EE-422A-8173-85E89CCAC774}"/>
            </c:ext>
          </c:extLst>
        </c:ser>
        <c:ser>
          <c:idx val="3"/>
          <c:order val="3"/>
          <c:tx>
            <c:strRef>
              <c:f>'📊 Progress'!$Y$32</c:f>
              <c:strCache>
                <c:ptCount val="1"/>
                <c:pt idx="0">
                  <c:v>Practice(T)</c:v>
                </c:pt>
              </c:strCache>
            </c:strRef>
          </c:tx>
          <c:spPr>
            <a:solidFill>
              <a:schemeClr val="accent2">
                <a:lumMod val="40000"/>
                <a:lumOff val="60000"/>
              </a:schemeClr>
            </a:solidFill>
            <a:ln>
              <a:noFill/>
            </a:ln>
            <a:effectLst/>
          </c:spPr>
          <c:invertIfNegative val="0"/>
          <c:dLbls>
            <c:dLbl>
              <c:idx val="0"/>
              <c:tx>
                <c:rich>
                  <a:bodyPr/>
                  <a:lstStyle/>
                  <a:p>
                    <a:fld id="{F6803B25-25C7-4BAB-B74A-0B765DE9409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4EE-422A-8173-85E89CCAC774}"/>
                </c:ext>
              </c:extLst>
            </c:dLbl>
            <c:dLbl>
              <c:idx val="1"/>
              <c:tx>
                <c:rich>
                  <a:bodyPr/>
                  <a:lstStyle/>
                  <a:p>
                    <a:fld id="{1DDC5597-ED2F-4CDB-A5A4-76CBF34BD4E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4EE-422A-8173-85E89CCAC774}"/>
                </c:ext>
              </c:extLst>
            </c:dLbl>
            <c:dLbl>
              <c:idx val="2"/>
              <c:tx>
                <c:rich>
                  <a:bodyPr/>
                  <a:lstStyle/>
                  <a:p>
                    <a:fld id="{F857DE4A-B4AB-4959-9DDF-7DBB26F5B5D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4EE-422A-8173-85E89CCAC774}"/>
                </c:ext>
              </c:extLst>
            </c:dLbl>
            <c:dLbl>
              <c:idx val="3"/>
              <c:tx>
                <c:rich>
                  <a:bodyPr/>
                  <a:lstStyle/>
                  <a:p>
                    <a:fld id="{3EF32613-8990-4A46-9F5C-0AE320AF6F6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4EE-422A-8173-85E89CCAC774}"/>
                </c:ext>
              </c:extLst>
            </c:dLbl>
            <c:dLbl>
              <c:idx val="4"/>
              <c:tx>
                <c:rich>
                  <a:bodyPr/>
                  <a:lstStyle/>
                  <a:p>
                    <a:fld id="{990BFDA6-B457-4D21-A6EC-1C7A9176596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4EE-422A-8173-85E89CCAC774}"/>
                </c:ext>
              </c:extLst>
            </c:dLbl>
            <c:dLbl>
              <c:idx val="5"/>
              <c:tx>
                <c:rich>
                  <a:bodyPr/>
                  <a:lstStyle/>
                  <a:p>
                    <a:fld id="{652696AC-2C2F-4D52-B972-734A478A3A9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Progress'!$Y$33:$Y$38</c:f>
              <c:numCache>
                <c:formatCode>0%</c:formatCode>
                <c:ptCount val="6"/>
                <c:pt idx="0">
                  <c:v>1</c:v>
                </c:pt>
                <c:pt idx="1">
                  <c:v>1</c:v>
                </c:pt>
                <c:pt idx="2">
                  <c:v>1</c:v>
                </c:pt>
                <c:pt idx="3">
                  <c:v>1</c:v>
                </c:pt>
                <c:pt idx="4">
                  <c:v>1</c:v>
                </c:pt>
                <c:pt idx="5">
                  <c:v>1</c:v>
                </c:pt>
              </c:numCache>
            </c:numRef>
          </c:val>
          <c:extLst>
            <c:ext xmlns:c15="http://schemas.microsoft.com/office/drawing/2012/chart" uri="{02D57815-91ED-43cb-92C2-25804820EDAC}">
              <c15:datalabelsRange>
                <c15:f>'📊 Progress'!$M$33:$M$38</c15:f>
                <c15:dlblRangeCache>
                  <c:ptCount val="6"/>
                  <c:pt idx="0">
                    <c:v>16</c:v>
                  </c:pt>
                  <c:pt idx="1">
                    <c:v>23</c:v>
                  </c:pt>
                  <c:pt idx="2">
                    <c:v>24</c:v>
                  </c:pt>
                  <c:pt idx="3">
                    <c:v>19</c:v>
                  </c:pt>
                  <c:pt idx="4">
                    <c:v>11</c:v>
                  </c:pt>
                  <c:pt idx="5">
                    <c:v>10</c:v>
                  </c:pt>
                </c15:dlblRangeCache>
              </c15:datalabelsRange>
            </c:ext>
            <c:ext xmlns:c16="http://schemas.microsoft.com/office/drawing/2014/chart" uri="{C3380CC4-5D6E-409C-BE32-E72D297353CC}">
              <c16:uniqueId val="{00000015-54EE-422A-8173-85E89CCAC774}"/>
            </c:ext>
          </c:extLst>
        </c:ser>
        <c:ser>
          <c:idx val="5"/>
          <c:order val="5"/>
          <c:tx>
            <c:strRef>
              <c:f>'📊 Progress'!$AA$32</c:f>
              <c:strCache>
                <c:ptCount val="1"/>
                <c:pt idx="0">
                  <c:v>Revision(T)</c:v>
                </c:pt>
              </c:strCache>
            </c:strRef>
          </c:tx>
          <c:spPr>
            <a:solidFill>
              <a:schemeClr val="accent1">
                <a:lumMod val="20000"/>
                <a:lumOff val="80000"/>
              </a:schemeClr>
            </a:solidFill>
            <a:ln>
              <a:noFill/>
            </a:ln>
            <a:effectLst/>
          </c:spPr>
          <c:invertIfNegative val="0"/>
          <c:dLbls>
            <c:dLbl>
              <c:idx val="0"/>
              <c:tx>
                <c:rich>
                  <a:bodyPr/>
                  <a:lstStyle/>
                  <a:p>
                    <a:fld id="{8779D9E5-4397-44DD-9091-69B8487F8014}"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4EE-422A-8173-85E89CCAC774}"/>
                </c:ext>
              </c:extLst>
            </c:dLbl>
            <c:dLbl>
              <c:idx val="1"/>
              <c:tx>
                <c:rich>
                  <a:bodyPr/>
                  <a:lstStyle/>
                  <a:p>
                    <a:fld id="{C594ABC9-7496-4DDC-9B03-45949E73B48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4EE-422A-8173-85E89CCAC774}"/>
                </c:ext>
              </c:extLst>
            </c:dLbl>
            <c:dLbl>
              <c:idx val="2"/>
              <c:tx>
                <c:rich>
                  <a:bodyPr/>
                  <a:lstStyle/>
                  <a:p>
                    <a:fld id="{9B66EA41-884A-4E31-B8D7-238FB080737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4EE-422A-8173-85E89CCAC774}"/>
                </c:ext>
              </c:extLst>
            </c:dLbl>
            <c:dLbl>
              <c:idx val="3"/>
              <c:tx>
                <c:rich>
                  <a:bodyPr/>
                  <a:lstStyle/>
                  <a:p>
                    <a:fld id="{B599D73C-6F96-4B01-B58F-D4C0E8C20A5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4EE-422A-8173-85E89CCAC774}"/>
                </c:ext>
              </c:extLst>
            </c:dLbl>
            <c:dLbl>
              <c:idx val="4"/>
              <c:tx>
                <c:rich>
                  <a:bodyPr/>
                  <a:lstStyle/>
                  <a:p>
                    <a:fld id="{3705E4FE-56CC-4E2C-8DD9-2ACC80C8095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4EE-422A-8173-85E89CCAC774}"/>
                </c:ext>
              </c:extLst>
            </c:dLbl>
            <c:dLbl>
              <c:idx val="5"/>
              <c:tx>
                <c:rich>
                  <a:bodyPr/>
                  <a:lstStyle/>
                  <a:p>
                    <a:fld id="{71F12C6F-3372-4A74-9835-2114F3B51E9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4EE-422A-8173-85E89CCAC77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Progress'!$AA$33:$AA$38</c:f>
              <c:numCache>
                <c:formatCode>0%</c:formatCode>
                <c:ptCount val="6"/>
                <c:pt idx="0">
                  <c:v>1</c:v>
                </c:pt>
                <c:pt idx="1">
                  <c:v>1</c:v>
                </c:pt>
                <c:pt idx="2">
                  <c:v>1</c:v>
                </c:pt>
                <c:pt idx="3">
                  <c:v>1</c:v>
                </c:pt>
                <c:pt idx="4">
                  <c:v>1</c:v>
                </c:pt>
                <c:pt idx="5">
                  <c:v>1</c:v>
                </c:pt>
              </c:numCache>
            </c:numRef>
          </c:val>
          <c:extLst>
            <c:ext xmlns:c15="http://schemas.microsoft.com/office/drawing/2012/chart" uri="{02D57815-91ED-43cb-92C2-25804820EDAC}">
              <c15:datalabelsRange>
                <c15:f>'📊 Progress'!$K$33:$K$38</c15:f>
                <c15:dlblRangeCache>
                  <c:ptCount val="6"/>
                  <c:pt idx="0">
                    <c:v>16</c:v>
                  </c:pt>
                  <c:pt idx="1">
                    <c:v>23</c:v>
                  </c:pt>
                  <c:pt idx="2">
                    <c:v>24</c:v>
                  </c:pt>
                  <c:pt idx="3">
                    <c:v>19</c:v>
                  </c:pt>
                  <c:pt idx="4">
                    <c:v>11</c:v>
                  </c:pt>
                  <c:pt idx="5">
                    <c:v>10</c:v>
                  </c:pt>
                </c15:dlblRangeCache>
              </c15:datalabelsRange>
            </c:ext>
            <c:ext xmlns:c16="http://schemas.microsoft.com/office/drawing/2014/chart" uri="{C3380CC4-5D6E-409C-BE32-E72D297353CC}">
              <c16:uniqueId val="{00000020-54EE-422A-8173-85E89CCAC774}"/>
            </c:ext>
          </c:extLst>
        </c:ser>
        <c:ser>
          <c:idx val="7"/>
          <c:order val="7"/>
          <c:tx>
            <c:strRef>
              <c:f>'📊 Progress'!$AC$32</c:f>
              <c:strCache>
                <c:ptCount val="1"/>
                <c:pt idx="0">
                  <c:v>Extra Practice (T)</c:v>
                </c:pt>
              </c:strCache>
            </c:strRef>
          </c:tx>
          <c:spPr>
            <a:solidFill>
              <a:schemeClr val="accent4">
                <a:lumMod val="20000"/>
                <a:lumOff val="80000"/>
              </a:schemeClr>
            </a:solidFill>
            <a:ln>
              <a:noFill/>
            </a:ln>
            <a:effectLst/>
          </c:spPr>
          <c:invertIfNegative val="0"/>
          <c:dLbls>
            <c:dLbl>
              <c:idx val="0"/>
              <c:tx>
                <c:rich>
                  <a:bodyPr/>
                  <a:lstStyle/>
                  <a:p>
                    <a:fld id="{3200D0D4-638A-412D-B903-53A6B9D106EB}"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54EE-422A-8173-85E89CCAC774}"/>
                </c:ext>
              </c:extLst>
            </c:dLbl>
            <c:dLbl>
              <c:idx val="1"/>
              <c:tx>
                <c:rich>
                  <a:bodyPr/>
                  <a:lstStyle/>
                  <a:p>
                    <a:fld id="{63BB424B-42C6-44E6-A130-6B4A6F59B08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4EE-422A-8173-85E89CCAC774}"/>
                </c:ext>
              </c:extLst>
            </c:dLbl>
            <c:dLbl>
              <c:idx val="2"/>
              <c:tx>
                <c:rich>
                  <a:bodyPr/>
                  <a:lstStyle/>
                  <a:p>
                    <a:fld id="{43CDBF1E-368C-4851-A865-1D9069D38B8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4EE-422A-8173-85E89CCAC774}"/>
                </c:ext>
              </c:extLst>
            </c:dLbl>
            <c:dLbl>
              <c:idx val="3"/>
              <c:tx>
                <c:rich>
                  <a:bodyPr/>
                  <a:lstStyle/>
                  <a:p>
                    <a:fld id="{56E06C1B-8DF4-468E-974F-5DBDFCE4DAB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4EE-422A-8173-85E89CCAC774}"/>
                </c:ext>
              </c:extLst>
            </c:dLbl>
            <c:dLbl>
              <c:idx val="4"/>
              <c:tx>
                <c:rich>
                  <a:bodyPr/>
                  <a:lstStyle/>
                  <a:p>
                    <a:fld id="{356B4919-0C21-468A-BCFC-46C53C9C65C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4EE-422A-8173-85E89CCAC774}"/>
                </c:ext>
              </c:extLst>
            </c:dLbl>
            <c:dLbl>
              <c:idx val="5"/>
              <c:tx>
                <c:rich>
                  <a:bodyPr/>
                  <a:lstStyle/>
                  <a:p>
                    <a:fld id="{A3E260C9-6894-4418-9F8F-F7081217C19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Progress'!$AC$33:$AC$38</c:f>
              <c:numCache>
                <c:formatCode>0%</c:formatCode>
                <c:ptCount val="6"/>
                <c:pt idx="0">
                  <c:v>1</c:v>
                </c:pt>
                <c:pt idx="1">
                  <c:v>1</c:v>
                </c:pt>
                <c:pt idx="2">
                  <c:v>1</c:v>
                </c:pt>
                <c:pt idx="3">
                  <c:v>1</c:v>
                </c:pt>
                <c:pt idx="4">
                  <c:v>1</c:v>
                </c:pt>
                <c:pt idx="5">
                  <c:v>1</c:v>
                </c:pt>
              </c:numCache>
            </c:numRef>
          </c:val>
          <c:extLst>
            <c:ext xmlns:c15="http://schemas.microsoft.com/office/drawing/2012/chart" uri="{02D57815-91ED-43cb-92C2-25804820EDAC}">
              <c15:datalabelsRange>
                <c15:f>'📊 Progress'!$R$33:$R$38</c15:f>
                <c15:dlblRangeCache>
                  <c:ptCount val="6"/>
                  <c:pt idx="0">
                    <c:v>16</c:v>
                  </c:pt>
                  <c:pt idx="1">
                    <c:v>23</c:v>
                  </c:pt>
                  <c:pt idx="2">
                    <c:v>24</c:v>
                  </c:pt>
                  <c:pt idx="3">
                    <c:v>19</c:v>
                  </c:pt>
                  <c:pt idx="4">
                    <c:v>11</c:v>
                  </c:pt>
                  <c:pt idx="5">
                    <c:v>10</c:v>
                  </c:pt>
                </c15:dlblRangeCache>
              </c15:datalabelsRange>
            </c:ext>
            <c:ext xmlns:c16="http://schemas.microsoft.com/office/drawing/2014/chart" uri="{C3380CC4-5D6E-409C-BE32-E72D297353CC}">
              <c16:uniqueId val="{0000002B-54EE-422A-8173-85E89CCAC774}"/>
            </c:ext>
          </c:extLst>
        </c:ser>
        <c:dLbls>
          <c:showLegendKey val="0"/>
          <c:showVal val="0"/>
          <c:showCatName val="0"/>
          <c:showSerName val="0"/>
          <c:showPercent val="0"/>
          <c:showBubbleSize val="0"/>
        </c:dLbls>
        <c:gapWidth val="50"/>
        <c:axId val="2102294271"/>
        <c:axId val="2102297183"/>
      </c:barChart>
      <c:barChart>
        <c:barDir val="col"/>
        <c:grouping val="clustered"/>
        <c:varyColors val="0"/>
        <c:ser>
          <c:idx val="0"/>
          <c:order val="0"/>
          <c:tx>
            <c:strRef>
              <c:f>'📊 Progress'!$V$32</c:f>
              <c:strCache>
                <c:ptCount val="1"/>
                <c:pt idx="0">
                  <c:v>Syllubus(D)</c:v>
                </c:pt>
              </c:strCache>
            </c:strRef>
          </c:tx>
          <c:spPr>
            <a:solidFill>
              <a:schemeClr val="tx1">
                <a:lumMod val="50000"/>
                <a:lumOff val="50000"/>
              </a:schemeClr>
            </a:solidFill>
            <a:ln>
              <a:noFill/>
            </a:ln>
            <a:effectLst/>
          </c:spPr>
          <c:invertIfNegative val="0"/>
          <c:dLbls>
            <c:dLbl>
              <c:idx val="0"/>
              <c:tx>
                <c:rich>
                  <a:bodyPr/>
                  <a:lstStyle/>
                  <a:p>
                    <a:fld id="{9649B16B-8B15-4A4D-B69E-50D675D5C5C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54EE-422A-8173-85E89CCAC774}"/>
                </c:ext>
              </c:extLst>
            </c:dLbl>
            <c:dLbl>
              <c:idx val="1"/>
              <c:tx>
                <c:rich>
                  <a:bodyPr/>
                  <a:lstStyle/>
                  <a:p>
                    <a:fld id="{6D80CF16-7C11-41D1-AA4C-E3F39ABCBA17}"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54EE-422A-8173-85E89CCAC774}"/>
                </c:ext>
              </c:extLst>
            </c:dLbl>
            <c:dLbl>
              <c:idx val="2"/>
              <c:tx>
                <c:rich>
                  <a:bodyPr/>
                  <a:lstStyle/>
                  <a:p>
                    <a:fld id="{56320590-434B-4564-ADF6-DD70E7FD8188}"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54EE-422A-8173-85E89CCAC774}"/>
                </c:ext>
              </c:extLst>
            </c:dLbl>
            <c:dLbl>
              <c:idx val="3"/>
              <c:tx>
                <c:rich>
                  <a:bodyPr/>
                  <a:lstStyle/>
                  <a:p>
                    <a:fld id="{1CDA9794-59F6-4C5B-B3A1-E0911B3B0386}"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54EE-422A-8173-85E89CCAC774}"/>
                </c:ext>
              </c:extLst>
            </c:dLbl>
            <c:dLbl>
              <c:idx val="4"/>
              <c:tx>
                <c:rich>
                  <a:bodyPr/>
                  <a:lstStyle/>
                  <a:p>
                    <a:fld id="{DCC7788C-F758-4041-92C8-327FD9BD871B}"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54EE-422A-8173-85E89CCAC774}"/>
                </c:ext>
              </c:extLst>
            </c:dLbl>
            <c:dLbl>
              <c:idx val="5"/>
              <c:tx>
                <c:rich>
                  <a:bodyPr/>
                  <a:lstStyle/>
                  <a:p>
                    <a:fld id="{FAB832D7-7D26-4074-8F86-040AE66E8E55}"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layout>
                    <c:manualLayout>
                      <c:w val="1.8319703245571296E-2"/>
                      <c:h val="6.6845954518598025E-2"/>
                    </c:manualLayout>
                  </c15:layout>
                  <c15:dlblFieldTable/>
                  <c15:showDataLabelsRange val="1"/>
                </c:ext>
                <c:ext xmlns:c16="http://schemas.microsoft.com/office/drawing/2014/chart" uri="{C3380CC4-5D6E-409C-BE32-E72D297353CC}">
                  <c16:uniqueId val="{00000031-54EE-422A-8173-85E89CCAC774}"/>
                </c:ext>
              </c:extLst>
            </c:dLbl>
            <c:numFmt formatCode="#,##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Progress'!$V$33:$V$38</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datalabelsRange>
                <c15:f>'📊 Progress'!$N$33:$N$38</c15:f>
                <c15:dlblRangeCache>
                  <c:ptCount val="6"/>
                </c15:dlblRangeCache>
              </c15:datalabelsRange>
            </c:ext>
            <c:ext xmlns:c16="http://schemas.microsoft.com/office/drawing/2014/chart" uri="{C3380CC4-5D6E-409C-BE32-E72D297353CC}">
              <c16:uniqueId val="{00000036-54EE-422A-8173-85E89CCAC774}"/>
            </c:ext>
          </c:extLst>
        </c:ser>
        <c:ser>
          <c:idx val="2"/>
          <c:order val="2"/>
          <c:tx>
            <c:strRef>
              <c:f>'📊 Progress'!$X$32</c:f>
              <c:strCache>
                <c:ptCount val="1"/>
                <c:pt idx="0">
                  <c:v>Practice(D)</c:v>
                </c:pt>
              </c:strCache>
            </c:strRef>
          </c:tx>
          <c:spPr>
            <a:solidFill>
              <a:srgbClr val="EC7524"/>
            </a:solidFill>
            <a:ln>
              <a:noFill/>
            </a:ln>
            <a:effectLst/>
          </c:spPr>
          <c:invertIfNegative val="0"/>
          <c:dLbls>
            <c:dLbl>
              <c:idx val="0"/>
              <c:tx>
                <c:rich>
                  <a:bodyPr/>
                  <a:lstStyle/>
                  <a:p>
                    <a:fld id="{35165EA9-A006-487E-906F-FFA6AC07C6C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54EE-422A-8173-85E89CCAC774}"/>
                </c:ext>
              </c:extLst>
            </c:dLbl>
            <c:dLbl>
              <c:idx val="1"/>
              <c:tx>
                <c:rich>
                  <a:bodyPr/>
                  <a:lstStyle/>
                  <a:p>
                    <a:fld id="{DFB5C865-2EA5-4CA7-948B-2AC55DE77FD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54EE-422A-8173-85E89CCAC774}"/>
                </c:ext>
              </c:extLst>
            </c:dLbl>
            <c:dLbl>
              <c:idx val="2"/>
              <c:tx>
                <c:rich>
                  <a:bodyPr/>
                  <a:lstStyle/>
                  <a:p>
                    <a:fld id="{15441566-AB53-416E-BACF-2210F99C482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54EE-422A-8173-85E89CCAC774}"/>
                </c:ext>
              </c:extLst>
            </c:dLbl>
            <c:dLbl>
              <c:idx val="3"/>
              <c:tx>
                <c:rich>
                  <a:bodyPr/>
                  <a:lstStyle/>
                  <a:p>
                    <a:fld id="{7B28980F-39C9-40EC-9D4E-1AB6861B2EE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54EE-422A-8173-85E89CCAC774}"/>
                </c:ext>
              </c:extLst>
            </c:dLbl>
            <c:dLbl>
              <c:idx val="4"/>
              <c:tx>
                <c:rich>
                  <a:bodyPr/>
                  <a:lstStyle/>
                  <a:p>
                    <a:fld id="{606871C8-EB5D-47A4-9DBB-007B15A3BDF1}"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B-54EE-422A-8173-85E89CCAC774}"/>
                </c:ext>
              </c:extLst>
            </c:dLbl>
            <c:dLbl>
              <c:idx val="5"/>
              <c:tx>
                <c:rich>
                  <a:bodyPr/>
                  <a:lstStyle/>
                  <a:p>
                    <a:fld id="{2FF939B2-B72C-4600-B5EB-9B824F3AAA8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C-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Progress'!$X$33:$X$38</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datalabelsRange>
                <c15:f>'📊 Progress'!$L$33:$L$38</c15:f>
                <c15:dlblRangeCache>
                  <c:ptCount val="6"/>
                </c15:dlblRangeCache>
              </c15:datalabelsRange>
            </c:ext>
            <c:ext xmlns:c16="http://schemas.microsoft.com/office/drawing/2014/chart" uri="{C3380CC4-5D6E-409C-BE32-E72D297353CC}">
              <c16:uniqueId val="{00000041-54EE-422A-8173-85E89CCAC774}"/>
            </c:ext>
          </c:extLst>
        </c:ser>
        <c:ser>
          <c:idx val="4"/>
          <c:order val="4"/>
          <c:tx>
            <c:strRef>
              <c:f>'📊 Progress'!$Z$32</c:f>
              <c:strCache>
                <c:ptCount val="1"/>
                <c:pt idx="0">
                  <c:v>Revision(D)</c:v>
                </c:pt>
              </c:strCache>
            </c:strRef>
          </c:tx>
          <c:spPr>
            <a:solidFill>
              <a:schemeClr val="accent1">
                <a:lumMod val="60000"/>
                <a:lumOff val="40000"/>
              </a:schemeClr>
            </a:solidFill>
            <a:ln>
              <a:noFill/>
            </a:ln>
            <a:effectLst/>
          </c:spPr>
          <c:invertIfNegative val="0"/>
          <c:dLbls>
            <c:dLbl>
              <c:idx val="0"/>
              <c:tx>
                <c:rich>
                  <a:bodyPr/>
                  <a:lstStyle/>
                  <a:p>
                    <a:fld id="{F198516C-2BAC-4F7A-BEB4-ADFE461FE65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54EE-422A-8173-85E89CCAC774}"/>
                </c:ext>
              </c:extLst>
            </c:dLbl>
            <c:dLbl>
              <c:idx val="1"/>
              <c:tx>
                <c:rich>
                  <a:bodyPr/>
                  <a:lstStyle/>
                  <a:p>
                    <a:fld id="{4A983756-1014-41D1-AE60-E6EB9D5A360E}"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3-54EE-422A-8173-85E89CCAC774}"/>
                </c:ext>
              </c:extLst>
            </c:dLbl>
            <c:dLbl>
              <c:idx val="2"/>
              <c:tx>
                <c:rich>
                  <a:bodyPr/>
                  <a:lstStyle/>
                  <a:p>
                    <a:fld id="{EC369DF0-A5AC-4F70-B6F5-92873F8ED9D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4-54EE-422A-8173-85E89CCAC774}"/>
                </c:ext>
              </c:extLst>
            </c:dLbl>
            <c:dLbl>
              <c:idx val="3"/>
              <c:tx>
                <c:rich>
                  <a:bodyPr/>
                  <a:lstStyle/>
                  <a:p>
                    <a:fld id="{B11641C5-03A0-4A68-B1C2-72826B16F71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54EE-422A-8173-85E89CCAC774}"/>
                </c:ext>
              </c:extLst>
            </c:dLbl>
            <c:dLbl>
              <c:idx val="4"/>
              <c:tx>
                <c:rich>
                  <a:bodyPr/>
                  <a:lstStyle/>
                  <a:p>
                    <a:fld id="{0FFA006C-71AB-4910-9398-47F7121CB224}"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6-54EE-422A-8173-85E89CCAC774}"/>
                </c:ext>
              </c:extLst>
            </c:dLbl>
            <c:dLbl>
              <c:idx val="5"/>
              <c:tx>
                <c:rich>
                  <a:bodyPr/>
                  <a:lstStyle/>
                  <a:p>
                    <a:fld id="{8D674583-8065-4E13-857C-78CFE7BBF3E8}"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7-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Progress'!$Z$33:$Z$38</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datalabelsRange>
                <c15:f>'📊 Progress'!$H$33:$H$38</c15:f>
                <c15:dlblRangeCache>
                  <c:ptCount val="6"/>
                </c15:dlblRangeCache>
              </c15:datalabelsRange>
            </c:ext>
            <c:ext xmlns:c16="http://schemas.microsoft.com/office/drawing/2014/chart" uri="{C3380CC4-5D6E-409C-BE32-E72D297353CC}">
              <c16:uniqueId val="{0000004C-54EE-422A-8173-85E89CCAC774}"/>
            </c:ext>
          </c:extLst>
        </c:ser>
        <c:ser>
          <c:idx val="6"/>
          <c:order val="6"/>
          <c:tx>
            <c:strRef>
              <c:f>'📊 Progress'!$AB$32</c:f>
              <c:strCache>
                <c:ptCount val="1"/>
                <c:pt idx="0">
                  <c:v>Extra Practice (D)</c:v>
                </c:pt>
              </c:strCache>
            </c:strRef>
          </c:tx>
          <c:spPr>
            <a:solidFill>
              <a:schemeClr val="accent4">
                <a:lumMod val="60000"/>
                <a:lumOff val="40000"/>
              </a:schemeClr>
            </a:solidFill>
            <a:ln>
              <a:noFill/>
            </a:ln>
            <a:effectLst/>
          </c:spPr>
          <c:invertIfNegative val="0"/>
          <c:dLbls>
            <c:dLbl>
              <c:idx val="0"/>
              <c:tx>
                <c:rich>
                  <a:bodyPr/>
                  <a:lstStyle/>
                  <a:p>
                    <a:fld id="{89BE0D74-FA9A-4173-B99F-B46A525ECA66}"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54EE-422A-8173-85E89CCAC774}"/>
                </c:ext>
              </c:extLst>
            </c:dLbl>
            <c:dLbl>
              <c:idx val="1"/>
              <c:tx>
                <c:rich>
                  <a:bodyPr/>
                  <a:lstStyle/>
                  <a:p>
                    <a:fld id="{F6A006D1-FFAE-41C4-AAE4-7D63D737E2E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54EE-422A-8173-85E89CCAC774}"/>
                </c:ext>
              </c:extLst>
            </c:dLbl>
            <c:dLbl>
              <c:idx val="2"/>
              <c:tx>
                <c:rich>
                  <a:bodyPr/>
                  <a:lstStyle/>
                  <a:p>
                    <a:fld id="{161AE9C6-28C7-4D81-B838-24B718E85BE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F-54EE-422A-8173-85E89CCAC774}"/>
                </c:ext>
              </c:extLst>
            </c:dLbl>
            <c:dLbl>
              <c:idx val="3"/>
              <c:tx>
                <c:rich>
                  <a:bodyPr/>
                  <a:lstStyle/>
                  <a:p>
                    <a:fld id="{F4726866-B4B4-4553-A61D-097EC64A4759}"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0-54EE-422A-8173-85E89CCAC774}"/>
                </c:ext>
              </c:extLst>
            </c:dLbl>
            <c:dLbl>
              <c:idx val="4"/>
              <c:tx>
                <c:rich>
                  <a:bodyPr/>
                  <a:lstStyle/>
                  <a:p>
                    <a:fld id="{D06DAC39-7656-48B2-A631-C495885EBAA9}"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54EE-422A-8173-85E89CCAC774}"/>
                </c:ext>
              </c:extLst>
            </c:dLbl>
            <c:dLbl>
              <c:idx val="5"/>
              <c:tx>
                <c:rich>
                  <a:bodyPr/>
                  <a:lstStyle/>
                  <a:p>
                    <a:fld id="{2D471BAA-A0D0-494D-BEE8-503E67FD4FD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Progress'!$AB$33:$AB$38</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datalabelsRange>
                <c15:f>'📊 Progress'!$Q$33:$Q$38</c15:f>
                <c15:dlblRangeCache>
                  <c:ptCount val="6"/>
                </c15:dlblRangeCache>
              </c15:datalabelsRange>
            </c:ext>
            <c:ext xmlns:c16="http://schemas.microsoft.com/office/drawing/2014/chart" uri="{C3380CC4-5D6E-409C-BE32-E72D297353CC}">
              <c16:uniqueId val="{00000057-54EE-422A-8173-85E89CCAC774}"/>
            </c:ext>
          </c:extLst>
        </c:ser>
        <c:dLbls>
          <c:showLegendKey val="0"/>
          <c:showVal val="0"/>
          <c:showCatName val="0"/>
          <c:showSerName val="0"/>
          <c:showPercent val="0"/>
          <c:showBubbleSize val="0"/>
        </c:dLbls>
        <c:gapWidth val="50"/>
        <c:axId val="953655888"/>
        <c:axId val="953655056"/>
      </c:barChart>
      <c:lineChart>
        <c:grouping val="standard"/>
        <c:varyColors val="0"/>
        <c:ser>
          <c:idx val="8"/>
          <c:order val="8"/>
          <c:tx>
            <c:strRef>
              <c:f>'📊 Progress'!$AD$32</c:f>
              <c:strCache>
                <c:ptCount val="1"/>
                <c:pt idx="0">
                  <c:v>Confidence</c:v>
                </c:pt>
              </c:strCache>
            </c:strRef>
          </c:tx>
          <c:spPr>
            <a:ln w="57150" cap="rnd">
              <a:solidFill>
                <a:schemeClr val="bg1"/>
              </a:solidFill>
              <a:round/>
            </a:ln>
            <a:effectLst/>
          </c:spPr>
          <c:marker>
            <c:symbol val="none"/>
          </c:marker>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Progress'!$AD$33:$AD$38</c:f>
              <c:numCache>
                <c:formatCode>0%</c:formatCode>
                <c:ptCount val="6"/>
                <c:pt idx="0">
                  <c:v>0.47796610169491521</c:v>
                </c:pt>
                <c:pt idx="1">
                  <c:v>0.47415730337078649</c:v>
                </c:pt>
                <c:pt idx="2">
                  <c:v>0.50833333333333353</c:v>
                </c:pt>
                <c:pt idx="3">
                  <c:v>0.49552238805970139</c:v>
                </c:pt>
                <c:pt idx="4">
                  <c:v>0.44615384615384618</c:v>
                </c:pt>
                <c:pt idx="5">
                  <c:v>0.54</c:v>
                </c:pt>
              </c:numCache>
            </c:numRef>
          </c:val>
          <c:smooth val="0"/>
          <c:extLst>
            <c:ext xmlns:c16="http://schemas.microsoft.com/office/drawing/2014/chart" uri="{C3380CC4-5D6E-409C-BE32-E72D297353CC}">
              <c16:uniqueId val="{00000058-54EE-422A-8173-85E89CCAC774}"/>
            </c:ext>
          </c:extLst>
        </c:ser>
        <c:dLbls>
          <c:showLegendKey val="0"/>
          <c:showVal val="0"/>
          <c:showCatName val="0"/>
          <c:showSerName val="0"/>
          <c:showPercent val="0"/>
          <c:showBubbleSize val="0"/>
        </c:dLbls>
        <c:marker val="1"/>
        <c:smooth val="0"/>
        <c:axId val="953655888"/>
        <c:axId val="953655056"/>
      </c:lineChart>
      <c:catAx>
        <c:axId val="2102294271"/>
        <c:scaling>
          <c:orientation val="minMax"/>
        </c:scaling>
        <c:delete val="1"/>
        <c:axPos val="b"/>
        <c:numFmt formatCode="General" sourceLinked="1"/>
        <c:majorTickMark val="out"/>
        <c:minorTickMark val="none"/>
        <c:tickLblPos val="nextTo"/>
        <c:crossAx val="2102297183"/>
        <c:crosses val="autoZero"/>
        <c:auto val="1"/>
        <c:lblAlgn val="ctr"/>
        <c:lblOffset val="100"/>
        <c:noMultiLvlLbl val="0"/>
      </c:catAx>
      <c:valAx>
        <c:axId val="2102297183"/>
        <c:scaling>
          <c:orientation val="minMax"/>
          <c:max val="1"/>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2102294271"/>
        <c:crosses val="autoZero"/>
        <c:crossBetween val="between"/>
        <c:majorUnit val="0.2"/>
      </c:valAx>
      <c:valAx>
        <c:axId val="953655056"/>
        <c:scaling>
          <c:orientation val="minMax"/>
        </c:scaling>
        <c:delete val="1"/>
        <c:axPos val="r"/>
        <c:numFmt formatCode="0%" sourceLinked="1"/>
        <c:majorTickMark val="out"/>
        <c:minorTickMark val="none"/>
        <c:tickLblPos val="nextTo"/>
        <c:crossAx val="953655888"/>
        <c:crosses val="max"/>
        <c:crossBetween val="between"/>
      </c:valAx>
      <c:catAx>
        <c:axId val="953655888"/>
        <c:scaling>
          <c:orientation val="minMax"/>
        </c:scaling>
        <c:delete val="0"/>
        <c:axPos val="t"/>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953655056"/>
        <c:crosses val="max"/>
        <c:auto val="0"/>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200" b="1">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[FRM Part 2 Performance Tracker '24.xlsx]Working!PivotTable4</c:name>
    <c:fmtId val="5"/>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Revision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hade val="76000"/>
            </a:schemeClr>
          </a:solidFill>
          <a:ln w="19050">
            <a:solidFill>
              <a:schemeClr val="lt1"/>
            </a:solidFill>
          </a:ln>
          <a:effectLst/>
        </c:spPr>
      </c:pivotFmt>
      <c:pivotFmt>
        <c:idx val="2"/>
        <c:spPr>
          <a:solidFill>
            <a:schemeClr val="accent1">
              <a:shade val="76000"/>
            </a:schemeClr>
          </a:solidFill>
          <a:ln w="19050">
            <a:solidFill>
              <a:schemeClr val="lt1"/>
            </a:solidFill>
          </a:ln>
          <a:effectLst/>
        </c:spPr>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1">
              <a:shade val="76000"/>
            </a:schemeClr>
          </a:solidFill>
          <a:ln w="19050">
            <a:solidFill>
              <a:schemeClr val="lt1"/>
            </a:solidFill>
          </a:ln>
          <a:effectLst/>
        </c:spPr>
      </c:pivotFmt>
      <c:pivotFmt>
        <c:idx val="5"/>
        <c:spPr>
          <a:solidFill>
            <a:schemeClr val="accent1">
              <a:lumMod val="60000"/>
              <a:lumOff val="40000"/>
            </a:schemeClr>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5">
              <a:lumMod val="20000"/>
              <a:lumOff val="80000"/>
            </a:schemeClr>
          </a:solidFill>
          <a:ln w="19050">
            <a:solidFill>
              <a:schemeClr val="accent1">
                <a:lumMod val="60000"/>
                <a:lumOff val="40000"/>
              </a:schemeClr>
            </a:solidFill>
          </a:ln>
          <a:effectLst/>
        </c:spPr>
      </c:pivotFmt>
      <c:pivotFmt>
        <c:idx val="7"/>
        <c:spPr>
          <a:solidFill>
            <a:schemeClr val="accent1">
              <a:lumMod val="60000"/>
              <a:lumOff val="40000"/>
            </a:schemeClr>
          </a:solidFill>
          <a:ln w="19050">
            <a:solidFill>
              <a:schemeClr val="accent1">
                <a:lumMod val="60000"/>
                <a:lumOff val="40000"/>
              </a:schemeClr>
            </a:solidFill>
          </a:ln>
          <a:effectLst/>
        </c:spPr>
      </c:pivotFmt>
      <c:pivotFmt>
        <c:idx val="8"/>
        <c:spPr>
          <a:solidFill>
            <a:schemeClr val="accent1">
              <a:lumMod val="60000"/>
              <a:lumOff val="40000"/>
            </a:schemeClr>
          </a:solidFill>
          <a:ln w="19050">
            <a:noFill/>
          </a:ln>
          <a:effectLst/>
        </c:spPr>
      </c:pivotFmt>
    </c:pivotFmts>
    <c:plotArea>
      <c:layout/>
      <c:doughnutChart>
        <c:varyColors val="1"/>
        <c:ser>
          <c:idx val="0"/>
          <c:order val="0"/>
          <c:tx>
            <c:strRef>
              <c:f>Working!$C$92</c:f>
              <c:strCache>
                <c:ptCount val="1"/>
                <c:pt idx="0">
                  <c:v>Total</c:v>
                </c:pt>
              </c:strCache>
            </c:strRef>
          </c:tx>
          <c:spPr>
            <a:solidFill>
              <a:schemeClr val="accent1">
                <a:lumMod val="60000"/>
                <a:lumOff val="40000"/>
              </a:schemeClr>
            </a:solidFill>
            <a:ln>
              <a:noFill/>
            </a:ln>
          </c:spPr>
          <c:dPt>
            <c:idx val="0"/>
            <c:bubble3D val="0"/>
            <c:spPr>
              <a:solidFill>
                <a:schemeClr val="accent5">
                  <a:lumMod val="20000"/>
                  <a:lumOff val="80000"/>
                </a:schemeClr>
              </a:solidFill>
              <a:ln w="19050">
                <a:solidFill>
                  <a:schemeClr val="accent1">
                    <a:lumMod val="60000"/>
                    <a:lumOff val="40000"/>
                  </a:schemeClr>
                </a:solidFill>
              </a:ln>
              <a:effectLst/>
            </c:spPr>
            <c:extLst>
              <c:ext xmlns:c16="http://schemas.microsoft.com/office/drawing/2014/chart" uri="{C3380CC4-5D6E-409C-BE32-E72D297353CC}">
                <c16:uniqueId val="{00000001-6A47-4273-9569-0E9280344B5A}"/>
              </c:ext>
            </c:extLst>
          </c:dPt>
          <c:dPt>
            <c:idx val="1"/>
            <c:bubble3D val="0"/>
            <c:spPr>
              <a:solidFill>
                <a:schemeClr val="accent1">
                  <a:lumMod val="60000"/>
                  <a:lumOff val="40000"/>
                </a:schemeClr>
              </a:solidFill>
              <a:ln w="19050">
                <a:noFill/>
              </a:ln>
              <a:effectLst/>
            </c:spPr>
            <c:extLst>
              <c:ext xmlns:c16="http://schemas.microsoft.com/office/drawing/2014/chart" uri="{C3380CC4-5D6E-409C-BE32-E72D297353CC}">
                <c16:uniqueId val="{00000003-6A47-4273-9569-0E9280344B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Working!$B$93:$B$94</c:f>
              <c:strCache>
                <c:ptCount val="1"/>
                <c:pt idx="0">
                  <c:v>U</c:v>
                </c:pt>
              </c:strCache>
            </c:strRef>
          </c:cat>
          <c:val>
            <c:numRef>
              <c:f>Working!$C$93:$C$94</c:f>
              <c:numCache>
                <c:formatCode>General</c:formatCode>
                <c:ptCount val="1"/>
                <c:pt idx="0">
                  <c:v>103</c:v>
                </c:pt>
              </c:numCache>
            </c:numRef>
          </c:val>
          <c:extLst>
            <c:ext xmlns:c16="http://schemas.microsoft.com/office/drawing/2014/chart" uri="{C3380CC4-5D6E-409C-BE32-E72D297353CC}">
              <c16:uniqueId val="{00000004-6A47-4273-9569-0E9280344B5A}"/>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[FRM Part 2 Performance Tracker '24.xlsx]Working!PivotTable5</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Extra</a:t>
            </a:r>
            <a:r>
              <a:rPr lang="en-US" sz="1800" baseline="0">
                <a:solidFill>
                  <a:sysClr val="windowText" lastClr="000000"/>
                </a:solidFill>
                <a:latin typeface="Tw Cen MT" panose="020B0602020104020603" pitchFamily="34" charset="0"/>
              </a:rPr>
              <a:t> Practice</a:t>
            </a:r>
            <a:endParaRPr lang="en-US" sz="1800">
              <a:solidFill>
                <a:sysClr val="windowText" lastClr="000000"/>
              </a:solidFill>
              <a:latin typeface="Tw Cen MT" panose="020B0602020104020603"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6">
              <a:shade val="76000"/>
            </a:schemeClr>
          </a:solidFill>
          <a:ln w="19050">
            <a:solidFill>
              <a:schemeClr val="lt1"/>
            </a:solidFill>
          </a:ln>
          <a:effectLst/>
        </c:spPr>
      </c:pivotFmt>
      <c:pivotFmt>
        <c:idx val="2"/>
        <c:spPr>
          <a:solidFill>
            <a:schemeClr val="accent6">
              <a:tint val="77000"/>
            </a:schemeClr>
          </a:solidFill>
          <a:ln w="19050">
            <a:solidFill>
              <a:schemeClr val="lt1"/>
            </a:solidFill>
          </a:ln>
          <a:effectLst/>
        </c:spPr>
      </c:pivotFmt>
      <c:pivotFmt>
        <c:idx val="3"/>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6">
              <a:shade val="76000"/>
            </a:schemeClr>
          </a:solidFill>
          <a:ln w="19050">
            <a:solidFill>
              <a:schemeClr val="lt1"/>
            </a:solidFill>
          </a:ln>
          <a:effectLst/>
        </c:spPr>
      </c:pivotFmt>
      <c:pivotFmt>
        <c:idx val="5"/>
        <c:spPr>
          <a:solidFill>
            <a:schemeClr val="accent4">
              <a:lumMod val="20000"/>
              <a:lumOff val="80000"/>
            </a:schemeClr>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4">
              <a:lumMod val="20000"/>
              <a:lumOff val="80000"/>
            </a:schemeClr>
          </a:solidFill>
          <a:ln w="19050">
            <a:solidFill>
              <a:schemeClr val="accent4">
                <a:lumMod val="60000"/>
                <a:lumOff val="40000"/>
              </a:schemeClr>
            </a:solidFill>
          </a:ln>
          <a:effectLst/>
        </c:spPr>
      </c:pivotFmt>
      <c:pivotFmt>
        <c:idx val="7"/>
        <c:spPr>
          <a:solidFill>
            <a:schemeClr val="accent4">
              <a:lumMod val="60000"/>
              <a:lumOff val="40000"/>
            </a:schemeClr>
          </a:solidFill>
          <a:ln w="19050">
            <a:solidFill>
              <a:schemeClr val="accent4">
                <a:lumMod val="60000"/>
                <a:lumOff val="40000"/>
              </a:schemeClr>
            </a:solidFill>
          </a:ln>
          <a:effectLst/>
        </c:spPr>
      </c:pivotFmt>
      <c:pivotFmt>
        <c:idx val="8"/>
        <c:spPr>
          <a:solidFill>
            <a:schemeClr val="accent6"/>
          </a:solidFill>
          <a:ln w="19050">
            <a:noFill/>
          </a:ln>
          <a:effectLst/>
        </c:spPr>
      </c:pivotFmt>
    </c:pivotFmts>
    <c:plotArea>
      <c:layout/>
      <c:doughnutChart>
        <c:varyColors val="1"/>
        <c:ser>
          <c:idx val="0"/>
          <c:order val="0"/>
          <c:tx>
            <c:strRef>
              <c:f>Working!$C$97</c:f>
              <c:strCache>
                <c:ptCount val="1"/>
                <c:pt idx="0">
                  <c:v>Total</c:v>
                </c:pt>
              </c:strCache>
            </c:strRef>
          </c:tx>
          <c:spPr>
            <a:solidFill>
              <a:schemeClr val="accent4">
                <a:lumMod val="20000"/>
                <a:lumOff val="80000"/>
              </a:schemeClr>
            </a:solidFill>
            <a:ln>
              <a:noFill/>
            </a:ln>
          </c:spPr>
          <c:dPt>
            <c:idx val="0"/>
            <c:bubble3D val="0"/>
            <c:spPr>
              <a:solidFill>
                <a:schemeClr val="accent4">
                  <a:lumMod val="20000"/>
                  <a:lumOff val="80000"/>
                </a:schemeClr>
              </a:solidFill>
              <a:ln w="19050">
                <a:solidFill>
                  <a:schemeClr val="accent4">
                    <a:lumMod val="60000"/>
                    <a:lumOff val="40000"/>
                  </a:schemeClr>
                </a:solidFill>
              </a:ln>
              <a:effectLst/>
            </c:spPr>
            <c:extLst>
              <c:ext xmlns:c16="http://schemas.microsoft.com/office/drawing/2014/chart" uri="{C3380CC4-5D6E-409C-BE32-E72D297353CC}">
                <c16:uniqueId val="{00000001-A1B7-467A-9265-32EF9DA34F77}"/>
              </c:ext>
            </c:extLst>
          </c:dPt>
          <c:dPt>
            <c:idx val="1"/>
            <c:bubble3D val="0"/>
            <c:spPr>
              <a:solidFill>
                <a:schemeClr val="accent4">
                  <a:lumMod val="20000"/>
                  <a:lumOff val="80000"/>
                </a:schemeClr>
              </a:solidFill>
              <a:ln w="19050">
                <a:noFill/>
              </a:ln>
              <a:effectLst/>
            </c:spPr>
            <c:extLst>
              <c:ext xmlns:c16="http://schemas.microsoft.com/office/drawing/2014/chart" uri="{C3380CC4-5D6E-409C-BE32-E72D297353CC}">
                <c16:uniqueId val="{00000003-A1B7-467A-9265-32EF9DA34F7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Working!$B$98:$B$99</c:f>
              <c:strCache>
                <c:ptCount val="1"/>
                <c:pt idx="0">
                  <c:v>U</c:v>
                </c:pt>
              </c:strCache>
            </c:strRef>
          </c:cat>
          <c:val>
            <c:numRef>
              <c:f>Working!$C$98:$C$99</c:f>
              <c:numCache>
                <c:formatCode>General</c:formatCode>
                <c:ptCount val="1"/>
                <c:pt idx="0">
                  <c:v>103</c:v>
                </c:pt>
              </c:numCache>
            </c:numRef>
          </c:val>
          <c:extLst>
            <c:ext xmlns:c16="http://schemas.microsoft.com/office/drawing/2014/chart" uri="{C3380CC4-5D6E-409C-BE32-E72D297353CC}">
              <c16:uniqueId val="{00000004-A1B7-467A-9265-32EF9DA34F77}"/>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3D1-47E5-AE2C-07890A6A65C4}"/>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3D1-47E5-AE2C-07890A6A65C4}"/>
              </c:ext>
            </c:extLst>
          </c:dPt>
          <c:dPt>
            <c:idx val="2"/>
            <c:bubble3D val="0"/>
            <c:spPr>
              <a:solidFill>
                <a:srgbClr val="FFA3A3"/>
              </a:solidFill>
              <a:ln w="19050">
                <a:noFill/>
              </a:ln>
              <a:effectLst/>
            </c:spPr>
            <c:extLst>
              <c:ext xmlns:c16="http://schemas.microsoft.com/office/drawing/2014/chart" uri="{C3380CC4-5D6E-409C-BE32-E72D297353CC}">
                <c16:uniqueId val="{00000005-D3D1-47E5-AE2C-07890A6A65C4}"/>
              </c:ext>
            </c:extLst>
          </c:dPt>
          <c:dPt>
            <c:idx val="3"/>
            <c:bubble3D val="0"/>
            <c:spPr>
              <a:solidFill>
                <a:srgbClr val="FF7979"/>
              </a:solidFill>
              <a:ln w="19050">
                <a:noFill/>
              </a:ln>
              <a:effectLst/>
            </c:spPr>
            <c:extLst>
              <c:ext xmlns:c16="http://schemas.microsoft.com/office/drawing/2014/chart" uri="{C3380CC4-5D6E-409C-BE32-E72D297353CC}">
                <c16:uniqueId val="{00000007-D3D1-47E5-AE2C-07890A6A65C4}"/>
              </c:ext>
            </c:extLst>
          </c:dPt>
          <c:dLbls>
            <c:dLbl>
              <c:idx val="0"/>
              <c:tx>
                <c:rich>
                  <a:bodyPr/>
                  <a:lstStyle/>
                  <a:p>
                    <a:fld id="{EBE7AB40-7FAB-4761-B744-7D124E1785A2}"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3D1-47E5-AE2C-07890A6A65C4}"/>
                </c:ext>
              </c:extLst>
            </c:dLbl>
            <c:dLbl>
              <c:idx val="1"/>
              <c:tx>
                <c:rich>
                  <a:bodyPr/>
                  <a:lstStyle/>
                  <a:p>
                    <a:fld id="{2D9DB717-E4A1-46B0-B2D1-776072793DF8}"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3D1-47E5-AE2C-07890A6A65C4}"/>
                </c:ext>
              </c:extLst>
            </c:dLbl>
            <c:dLbl>
              <c:idx val="2"/>
              <c:tx>
                <c:rich>
                  <a:bodyPr/>
                  <a:lstStyle/>
                  <a:p>
                    <a:fld id="{FAA52CD8-E081-49D2-93C8-9FF97B8FAB4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059589611003399"/>
                      <c:h val="0.19403429589282872"/>
                    </c:manualLayout>
                  </c15:layout>
                  <c15:dlblFieldTable/>
                  <c15:showDataLabelsRange val="1"/>
                </c:ext>
                <c:ext xmlns:c16="http://schemas.microsoft.com/office/drawing/2014/chart" uri="{C3380CC4-5D6E-409C-BE32-E72D297353CC}">
                  <c16:uniqueId val="{00000005-D3D1-47E5-AE2C-07890A6A65C4}"/>
                </c:ext>
              </c:extLst>
            </c:dLbl>
            <c:dLbl>
              <c:idx val="3"/>
              <c:tx>
                <c:rich>
                  <a:bodyPr/>
                  <a:lstStyle/>
                  <a:p>
                    <a:fld id="{96D1D720-06EE-45F1-BB87-35E4D56FC685}"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3D1-47E5-AE2C-07890A6A65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0.26480836236933797</c:v>
                </c:pt>
                <c:pt idx="3">
                  <c:v>0.73519163763066209</c:v>
                </c:pt>
              </c:numCache>
            </c:numRef>
          </c:val>
          <c:extLst>
            <c:ext xmlns:c15="http://schemas.microsoft.com/office/drawing/2012/chart" uri="{02D57815-91ED-43cb-92C2-25804820EDAC}">
              <c15:datalabelsRange>
                <c15:f>Working!$E$54:$E$57</c15:f>
                <c15:dlblRangeCache>
                  <c:ptCount val="4"/>
                  <c:pt idx="2">
                    <c:v>Extra Undone, 54</c:v>
                  </c:pt>
                  <c:pt idx="3">
                    <c:v>Undone, 150</c:v>
                  </c:pt>
                </c15:dlblRangeCache>
              </c15:datalabelsRange>
            </c:ext>
            <c:ext xmlns:c16="http://schemas.microsoft.com/office/drawing/2014/chart" uri="{C3380CC4-5D6E-409C-BE32-E72D297353CC}">
              <c16:uniqueId val="{00000008-D3D1-47E5-AE2C-07890A6A65C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2E1-4A6A-B7D4-7A47C2198339}"/>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2E1-4A6A-B7D4-7A47C2198339}"/>
              </c:ext>
            </c:extLst>
          </c:dPt>
          <c:dPt>
            <c:idx val="2"/>
            <c:bubble3D val="0"/>
            <c:spPr>
              <a:solidFill>
                <a:srgbClr val="FFA3A3"/>
              </a:solidFill>
              <a:ln w="19050">
                <a:noFill/>
              </a:ln>
              <a:effectLst/>
            </c:spPr>
            <c:extLst>
              <c:ext xmlns:c16="http://schemas.microsoft.com/office/drawing/2014/chart" uri="{C3380CC4-5D6E-409C-BE32-E72D297353CC}">
                <c16:uniqueId val="{00000005-D2E1-4A6A-B7D4-7A47C2198339}"/>
              </c:ext>
            </c:extLst>
          </c:dPt>
          <c:dPt>
            <c:idx val="3"/>
            <c:bubble3D val="0"/>
            <c:spPr>
              <a:solidFill>
                <a:srgbClr val="FF7979"/>
              </a:solidFill>
              <a:ln w="19050">
                <a:noFill/>
              </a:ln>
              <a:effectLst/>
            </c:spPr>
            <c:extLst>
              <c:ext xmlns:c16="http://schemas.microsoft.com/office/drawing/2014/chart" uri="{C3380CC4-5D6E-409C-BE32-E72D297353CC}">
                <c16:uniqueId val="{00000007-D2E1-4A6A-B7D4-7A47C2198339}"/>
              </c:ext>
            </c:extLst>
          </c:dPt>
          <c:dLbls>
            <c:dLbl>
              <c:idx val="0"/>
              <c:tx>
                <c:rich>
                  <a:bodyPr/>
                  <a:lstStyle/>
                  <a:p>
                    <a:fld id="{D0B21E3B-ED6F-4B16-BF51-D7CB5FC716A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2E1-4A6A-B7D4-7A47C2198339}"/>
                </c:ext>
              </c:extLst>
            </c:dLbl>
            <c:dLbl>
              <c:idx val="1"/>
              <c:tx>
                <c:rich>
                  <a:bodyPr/>
                  <a:lstStyle/>
                  <a:p>
                    <a:fld id="{ABA92EB8-E3C3-4CF6-A534-628344C2B5A5}"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2E1-4A6A-B7D4-7A47C2198339}"/>
                </c:ext>
              </c:extLst>
            </c:dLbl>
            <c:dLbl>
              <c:idx val="2"/>
              <c:tx>
                <c:rich>
                  <a:bodyPr/>
                  <a:lstStyle/>
                  <a:p>
                    <a:fld id="{2B761387-9B46-42CB-9AAA-D12E6DF0E456}"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6927367060298"/>
                      <c:h val="0.19403429589282872"/>
                    </c:manualLayout>
                  </c15:layout>
                  <c15:dlblFieldTable/>
                  <c15:showDataLabelsRange val="1"/>
                </c:ext>
                <c:ext xmlns:c16="http://schemas.microsoft.com/office/drawing/2014/chart" uri="{C3380CC4-5D6E-409C-BE32-E72D297353CC}">
                  <c16:uniqueId val="{00000005-D2E1-4A6A-B7D4-7A47C2198339}"/>
                </c:ext>
              </c:extLst>
            </c:dLbl>
            <c:dLbl>
              <c:idx val="3"/>
              <c:tx>
                <c:rich>
                  <a:bodyPr/>
                  <a:lstStyle/>
                  <a:p>
                    <a:fld id="{EFD10F51-7034-4BBF-974F-984691DC361B}"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2E1-4A6A-B7D4-7A47C219833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0.26480836236933791</c:v>
                </c:pt>
                <c:pt idx="3">
                  <c:v>0.73519163763066209</c:v>
                </c:pt>
              </c:numCache>
            </c:numRef>
          </c:val>
          <c:extLst>
            <c:ext xmlns:c15="http://schemas.microsoft.com/office/drawing/2012/chart" uri="{02D57815-91ED-43cb-92C2-25804820EDAC}">
              <c15:datalabelsRange>
                <c15:f>Working!$E$61:$E$64</c15:f>
                <c15:dlblRangeCache>
                  <c:ptCount val="4"/>
                  <c:pt idx="2">
                    <c:v>Extra Undone, 136</c:v>
                  </c:pt>
                  <c:pt idx="3">
                    <c:v>Undone, 378</c:v>
                  </c:pt>
                </c15:dlblRangeCache>
              </c15:datalabelsRange>
            </c:ext>
            <c:ext xmlns:c16="http://schemas.microsoft.com/office/drawing/2014/chart" uri="{C3380CC4-5D6E-409C-BE32-E72D297353CC}">
              <c16:uniqueId val="{00000008-D2E1-4A6A-B7D4-7A47C219833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8D5A-46E4-8088-DF90E9BEF7F8}"/>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8D5A-46E4-8088-DF90E9BEF7F8}"/>
              </c:ext>
            </c:extLst>
          </c:dPt>
          <c:dPt>
            <c:idx val="2"/>
            <c:bubble3D val="0"/>
            <c:spPr>
              <a:solidFill>
                <a:srgbClr val="FFA3A3"/>
              </a:solidFill>
              <a:ln w="19050">
                <a:noFill/>
              </a:ln>
              <a:effectLst/>
            </c:spPr>
            <c:extLst>
              <c:ext xmlns:c16="http://schemas.microsoft.com/office/drawing/2014/chart" uri="{C3380CC4-5D6E-409C-BE32-E72D297353CC}">
                <c16:uniqueId val="{00000005-8D5A-46E4-8088-DF90E9BEF7F8}"/>
              </c:ext>
            </c:extLst>
          </c:dPt>
          <c:dPt>
            <c:idx val="3"/>
            <c:bubble3D val="0"/>
            <c:spPr>
              <a:solidFill>
                <a:srgbClr val="FF7979"/>
              </a:solidFill>
              <a:ln w="19050">
                <a:noFill/>
              </a:ln>
              <a:effectLst/>
            </c:spPr>
            <c:extLst>
              <c:ext xmlns:c16="http://schemas.microsoft.com/office/drawing/2014/chart" uri="{C3380CC4-5D6E-409C-BE32-E72D297353CC}">
                <c16:uniqueId val="{00000007-8D5A-46E4-8088-DF90E9BEF7F8}"/>
              </c:ext>
            </c:extLst>
          </c:dPt>
          <c:dLbls>
            <c:dLbl>
              <c:idx val="0"/>
              <c:tx>
                <c:rich>
                  <a:bodyPr/>
                  <a:lstStyle/>
                  <a:p>
                    <a:fld id="{520C65A6-61C0-44C0-B07A-532A812844D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8D5A-46E4-8088-DF90E9BEF7F8}"/>
                </c:ext>
              </c:extLst>
            </c:dLbl>
            <c:dLbl>
              <c:idx val="1"/>
              <c:tx>
                <c:rich>
                  <a:bodyPr/>
                  <a:lstStyle/>
                  <a:p>
                    <a:fld id="{3DD364B3-229E-4470-8C75-290C79E2515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8D5A-46E4-8088-DF90E9BEF7F8}"/>
                </c:ext>
              </c:extLst>
            </c:dLbl>
            <c:dLbl>
              <c:idx val="2"/>
              <c:layout>
                <c:manualLayout>
                  <c:x val="-3.7988844640581713E-2"/>
                  <c:y val="-0.13590060229060288"/>
                </c:manualLayout>
              </c:layout>
              <c:tx>
                <c:rich>
                  <a:bodyPr/>
                  <a:lstStyle/>
                  <a:p>
                    <a:fld id="{5F3CE40A-C27E-46A2-A172-1CCA2C16C22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59590438377308"/>
                      <c:h val="0.19791498181068526"/>
                    </c:manualLayout>
                  </c15:layout>
                  <c15:dlblFieldTable/>
                  <c15:showDataLabelsRange val="1"/>
                </c:ext>
                <c:ext xmlns:c16="http://schemas.microsoft.com/office/drawing/2014/chart" uri="{C3380CC4-5D6E-409C-BE32-E72D297353CC}">
                  <c16:uniqueId val="{00000005-8D5A-46E4-8088-DF90E9BEF7F8}"/>
                </c:ext>
              </c:extLst>
            </c:dLbl>
            <c:dLbl>
              <c:idx val="3"/>
              <c:tx>
                <c:rich>
                  <a:bodyPr/>
                  <a:lstStyle/>
                  <a:p>
                    <a:fld id="{E96DEDAD-29A2-43D9-ADA9-BDCB41B498D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2793306784348996"/>
                      <c:h val="0.15134675079640639"/>
                    </c:manualLayout>
                  </c15:layout>
                  <c15:dlblFieldTable/>
                  <c15:showDataLabelsRange val="1"/>
                </c:ext>
                <c:ext xmlns:c16="http://schemas.microsoft.com/office/drawing/2014/chart" uri="{C3380CC4-5D6E-409C-BE32-E72D297353CC}">
                  <c16:uniqueId val="{00000007-8D5A-46E4-8088-DF90E9BEF7F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0.26480836236933791</c:v>
                </c:pt>
                <c:pt idx="3">
                  <c:v>0.73519163763066209</c:v>
                </c:pt>
              </c:numCache>
            </c:numRef>
          </c:val>
          <c:extLst>
            <c:ext xmlns:c15="http://schemas.microsoft.com/office/drawing/2012/chart" uri="{02D57815-91ED-43cb-92C2-25804820EDAC}">
              <c15:datalabelsRange>
                <c15:f>Working!$E$68:$E$71</c15:f>
                <c15:dlblRangeCache>
                  <c:ptCount val="4"/>
                  <c:pt idx="2">
                    <c:v>Extra Undone, 190</c:v>
                  </c:pt>
                  <c:pt idx="3">
                    <c:v>Undone, 529</c:v>
                  </c:pt>
                </c15:dlblRangeCache>
              </c15:datalabelsRange>
            </c:ext>
            <c:ext xmlns:c16="http://schemas.microsoft.com/office/drawing/2014/chart" uri="{C3380CC4-5D6E-409C-BE32-E72D297353CC}">
              <c16:uniqueId val="{00000008-8D5A-46E4-8088-DF90E9BEF7F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E9C08697-1053-42D9-AE84-2D7AC50DD9AD}"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B4DFD0A7-4279-49C6-B076-A8CBAEC7E8D1}"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09619FC8-FBE3-4984-9C66-55E67BD13666}" type="CELLRANGE">
                      <a:rPr lang="en-IN"/>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11B522E2-3CDC-4F48-89F6-E66826E1530C}" type="CELLRANGE">
                      <a:rPr lang="en-IN"/>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0.26480836236933797</c:v>
                </c:pt>
                <c:pt idx="3">
                  <c:v>0.73519163763066209</c:v>
                </c:pt>
              </c:numCache>
            </c:numRef>
          </c:val>
          <c:extLst>
            <c:ext xmlns:c15="http://schemas.microsoft.com/office/drawing/2012/chart" uri="{02D57815-91ED-43cb-92C2-25804820EDAC}">
              <c15:datalabelsRange>
                <c15:f>Working!$E$47:$E$50</c15:f>
                <c15:dlblRangeCache>
                  <c:ptCount val="4"/>
                  <c:pt idx="2">
                    <c:v>Extra Undone, 27</c:v>
                  </c:pt>
                  <c:pt idx="3">
                    <c:v>Undone, 76</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CE5CDDE2-04FA-447C-BF91-8B121D27A2F4}"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02D10D2F-840D-4AB6-ACA8-F093543034B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1EB418D3-AD57-43F4-9A56-16BD08DA157B}"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49E6819F-65A7-4443-AE99-80AF8B59116B}"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0.26480836236933797</c:v>
                </c:pt>
                <c:pt idx="3">
                  <c:v>0.73519163763066209</c:v>
                </c:pt>
              </c:numCache>
            </c:numRef>
          </c:val>
          <c:extLst>
            <c:ext xmlns:c15="http://schemas.microsoft.com/office/drawing/2012/chart" uri="{02D57815-91ED-43cb-92C2-25804820EDAC}">
              <c15:datalabelsRange>
                <c15:f>Working!$E$54:$E$57</c15:f>
                <c15:dlblRangeCache>
                  <c:ptCount val="4"/>
                  <c:pt idx="2">
                    <c:v>Extra Undone, 54</c:v>
                  </c:pt>
                  <c:pt idx="3">
                    <c:v>Undone, 150</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BBB31BC9-4F74-4868-A635-18C5BB516AA5}"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3832889D-1863-4AFC-AA87-AB1FF2F68F8B}"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AB228593-A5A5-4600-870D-0475F11DDA1D}"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E773B2B9-9B18-4B4F-947E-FDA4B7EF8CB6}"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0.26480836236933791</c:v>
                </c:pt>
                <c:pt idx="3">
                  <c:v>0.73519163763066209</c:v>
                </c:pt>
              </c:numCache>
            </c:numRef>
          </c:val>
          <c:extLst>
            <c:ext xmlns:c15="http://schemas.microsoft.com/office/drawing/2012/chart" uri="{02D57815-91ED-43cb-92C2-25804820EDAC}">
              <c15:datalabelsRange>
                <c15:f>Working!$E$61:$E$64</c15:f>
                <c15:dlblRangeCache>
                  <c:ptCount val="4"/>
                  <c:pt idx="2">
                    <c:v>Extra Undone, 136</c:v>
                  </c:pt>
                  <c:pt idx="3">
                    <c:v>Undone, 378</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EC674D56-D81D-4563-B7D1-45BB3200A1E6}"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093499C3-B741-45F3-82B5-7A199A608A7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6AA29F4C-13E9-4A1A-A7AD-B37ADEF9735F}"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C5EFCC50-A7E1-4089-851A-C13BAF3B3E27}"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0.26480836236933791</c:v>
                </c:pt>
                <c:pt idx="3">
                  <c:v>0.73519163763066209</c:v>
                </c:pt>
              </c:numCache>
            </c:numRef>
          </c:val>
          <c:extLst>
            <c:ext xmlns:c15="http://schemas.microsoft.com/office/drawing/2012/chart" uri="{02D57815-91ED-43cb-92C2-25804820EDAC}">
              <c15:datalabelsRange>
                <c15:f>Working!$E$68:$E$71</c15:f>
                <c15:dlblRangeCache>
                  <c:ptCount val="4"/>
                  <c:pt idx="2">
                    <c:v>Extra Undone, 190</c:v>
                  </c:pt>
                  <c:pt idx="3">
                    <c:v>Undone, 529</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677286501828598E-2"/>
          <c:y val="3.1866468434387722E-2"/>
          <c:w val="0.94140204133847638"/>
          <c:h val="0.90166860491785139"/>
        </c:manualLayout>
      </c:layout>
      <c:lineChart>
        <c:grouping val="standard"/>
        <c:varyColors val="0"/>
        <c:ser>
          <c:idx val="1"/>
          <c:order val="0"/>
          <c:tx>
            <c:v>average</c:v>
          </c:tx>
          <c:spPr>
            <a:ln w="25400" cap="rnd">
              <a:solidFill>
                <a:srgbClr val="FF4747"/>
              </a:solidFill>
              <a:round/>
            </a:ln>
            <a:effectLst/>
          </c:spPr>
          <c:marker>
            <c:symbol val="none"/>
          </c:marker>
          <c:dLbls>
            <c:delete val="1"/>
          </c:dLbls>
          <c:val>
            <c:numRef>
              <c:f>'📊 Progress'!$B$33:$B$38</c:f>
              <c:numCache>
                <c:formatCode>0.0;\-0.0;;@</c:formatCode>
                <c:ptCount val="6"/>
                <c:pt idx="0">
                  <c:v>2.5</c:v>
                </c:pt>
                <c:pt idx="1">
                  <c:v>2.5</c:v>
                </c:pt>
                <c:pt idx="2">
                  <c:v>2.5</c:v>
                </c:pt>
                <c:pt idx="3">
                  <c:v>2.5</c:v>
                </c:pt>
                <c:pt idx="4">
                  <c:v>2.5</c:v>
                </c:pt>
                <c:pt idx="5">
                  <c:v>2.5</c:v>
                </c:pt>
              </c:numCache>
            </c:numRef>
          </c:val>
          <c:smooth val="0"/>
          <c:extLst>
            <c:ext xmlns:c16="http://schemas.microsoft.com/office/drawing/2014/chart" uri="{C3380CC4-5D6E-409C-BE32-E72D297353CC}">
              <c16:uniqueId val="{0000000B-2077-4FB0-9F37-13FB91287652}"/>
            </c:ext>
          </c:extLst>
        </c:ser>
        <c:ser>
          <c:idx val="0"/>
          <c:order val="1"/>
          <c:spPr>
            <a:ln w="25400"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dLbl>
              <c:idx val="0"/>
              <c:layout>
                <c:manualLayout>
                  <c:x val="-4.2262552659900775E-2"/>
                  <c:y val="5.4350234403786467E-2"/>
                </c:manualLayout>
              </c:layout>
              <c:tx>
                <c:rich>
                  <a:bodyPr/>
                  <a:lstStyle/>
                  <a:p>
                    <a:fld id="{BED38C58-09E3-40CE-B120-1EAC44172052}"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077-4FB0-9F37-13FB91287652}"/>
                </c:ext>
              </c:extLst>
            </c:dLbl>
            <c:dLbl>
              <c:idx val="1"/>
              <c:tx>
                <c:rich>
                  <a:bodyPr/>
                  <a:lstStyle/>
                  <a:p>
                    <a:fld id="{7B77A995-A9ED-42B3-92CD-8B5CF4CC7362}"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077-4FB0-9F37-13FB91287652}"/>
                </c:ext>
              </c:extLst>
            </c:dLbl>
            <c:dLbl>
              <c:idx val="2"/>
              <c:layout>
                <c:manualLayout>
                  <c:x val="3.1129570723994358E-3"/>
                  <c:y val="-5.6553979515063739E-2"/>
                </c:manualLayout>
              </c:layout>
              <c:tx>
                <c:rich>
                  <a:bodyPr/>
                  <a:lstStyle/>
                  <a:p>
                    <a:fld id="{BB6FE63D-DE35-4373-84E9-B212AF78F73A}"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077-4FB0-9F37-13FB91287652}"/>
                </c:ext>
              </c:extLst>
            </c:dLbl>
            <c:dLbl>
              <c:idx val="3"/>
              <c:layout>
                <c:manualLayout>
                  <c:x val="1.5809351132704708E-3"/>
                  <c:y val="-5.2607354904036455E-3"/>
                </c:manualLayout>
              </c:layout>
              <c:tx>
                <c:rich>
                  <a:bodyPr/>
                  <a:lstStyle/>
                  <a:p>
                    <a:fld id="{3F1D930D-2742-4C33-84AB-E9E9ECEE89D9}"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077-4FB0-9F37-13FB91287652}"/>
                </c:ext>
              </c:extLst>
            </c:dLbl>
            <c:dLbl>
              <c:idx val="4"/>
              <c:layout>
                <c:manualLayout>
                  <c:x val="-2.4946372591635856E-2"/>
                  <c:y val="5.3191881069636855E-2"/>
                </c:manualLayout>
              </c:layout>
              <c:tx>
                <c:rich>
                  <a:bodyPr/>
                  <a:lstStyle/>
                  <a:p>
                    <a:fld id="{D3B463E5-D673-4993-9CA9-BD8FAD24ACAA}"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2077-4FB0-9F37-13FB91287652}"/>
                </c:ext>
              </c:extLst>
            </c:dLbl>
            <c:dLbl>
              <c:idx val="5"/>
              <c:tx>
                <c:rich>
                  <a:bodyPr/>
                  <a:lstStyle/>
                  <a:p>
                    <a:fld id="{8037458A-7F03-4B9C-87C2-6D8FA3CD1831}"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077-4FB0-9F37-13FB91287652}"/>
                </c:ext>
              </c:extLst>
            </c:dLbl>
            <c:dLbl>
              <c:idx val="7"/>
              <c:layout>
                <c:manualLayout>
                  <c:x val="-6.1829020945537036E-2"/>
                  <c:y val="5.04956078503263E-2"/>
                </c:manualLayout>
              </c:layout>
              <c:tx>
                <c:rich>
                  <a:bodyPr/>
                  <a:lstStyle/>
                  <a:p>
                    <a:fld id="{50693B7E-531B-4B3E-8782-5172178CC4D5}"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077-4FB0-9F37-13FB91287652}"/>
                </c:ext>
              </c:extLst>
            </c:dLbl>
            <c:dLbl>
              <c:idx val="8"/>
              <c:layout>
                <c:manualLayout>
                  <c:x val="-0.1211058219426742"/>
                  <c:y val="-4.9724682539634364E-2"/>
                </c:manualLayout>
              </c:layout>
              <c:tx>
                <c:rich>
                  <a:bodyPr/>
                  <a:lstStyle/>
                  <a:p>
                    <a:fld id="{8C94647B-12A0-45CB-B059-5C1D8CFBC671}"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077-4FB0-9F37-13FB91287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Progress'!$J$33:$J$38</c:f>
              <c:numCache>
                <c:formatCode>0.0;\-0.0;;@</c:formatCode>
                <c:ptCount val="6"/>
                <c:pt idx="0">
                  <c:v>2.3898305084745761</c:v>
                </c:pt>
                <c:pt idx="1">
                  <c:v>2.3707865168539324</c:v>
                </c:pt>
                <c:pt idx="2">
                  <c:v>2.5416666666666674</c:v>
                </c:pt>
                <c:pt idx="3">
                  <c:v>2.4776119402985071</c:v>
                </c:pt>
                <c:pt idx="4">
                  <c:v>2.2307692307692308</c:v>
                </c:pt>
                <c:pt idx="5">
                  <c:v>2.7</c:v>
                </c:pt>
              </c:numCache>
            </c:numRef>
          </c:val>
          <c:smooth val="0"/>
          <c:extLst>
            <c:ext xmlns:c15="http://schemas.microsoft.com/office/drawing/2012/chart" uri="{02D57815-91ED-43cb-92C2-25804820EDAC}">
              <c15:datalabelsRange>
                <c15:f>'📊 Progress'!$C$33:$C$38</c15:f>
                <c15:dlblRangeCache>
                  <c:ptCount val="6"/>
                  <c:pt idx="0">
                    <c:v>Market Risk</c:v>
                  </c:pt>
                  <c:pt idx="1">
                    <c:v>Credit Risk</c:v>
                  </c:pt>
                  <c:pt idx="2">
                    <c:v>Operational Risk</c:v>
                  </c:pt>
                  <c:pt idx="3">
                    <c:v>Liquidity Risk</c:v>
                  </c:pt>
                  <c:pt idx="4">
                    <c:v>Investment Risk</c:v>
                  </c:pt>
                  <c:pt idx="5">
                    <c:v>Current Issues</c:v>
                  </c:pt>
                </c15:dlblRangeCache>
              </c15:datalabelsRange>
            </c:ext>
            <c:ext xmlns:c16="http://schemas.microsoft.com/office/drawing/2014/chart" uri="{C3380CC4-5D6E-409C-BE32-E72D297353CC}">
              <c16:uniqueId val="{0000000A-2077-4FB0-9F37-13FB91287652}"/>
            </c:ext>
          </c:extLst>
        </c:ser>
        <c:dLbls>
          <c:dLblPos val="t"/>
          <c:showLegendKey val="0"/>
          <c:showVal val="1"/>
          <c:showCatName val="0"/>
          <c:showSerName val="0"/>
          <c:showPercent val="0"/>
          <c:showBubbleSize val="0"/>
        </c:dLbls>
        <c:smooth val="0"/>
        <c:axId val="1985352560"/>
        <c:axId val="1985349648"/>
      </c:lineChart>
      <c:catAx>
        <c:axId val="1985352560"/>
        <c:scaling>
          <c:orientation val="minMax"/>
        </c:scaling>
        <c:delete val="1"/>
        <c:axPos val="b"/>
        <c:numFmt formatCode="General" sourceLinked="1"/>
        <c:majorTickMark val="none"/>
        <c:minorTickMark val="none"/>
        <c:tickLblPos val="nextTo"/>
        <c:crossAx val="1985349648"/>
        <c:crosses val="autoZero"/>
        <c:auto val="1"/>
        <c:lblAlgn val="ctr"/>
        <c:lblOffset val="100"/>
        <c:noMultiLvlLbl val="0"/>
      </c:catAx>
      <c:valAx>
        <c:axId val="1985349648"/>
        <c:scaling>
          <c:orientation val="minMax"/>
        </c:scaling>
        <c:delete val="1"/>
        <c:axPos val="l"/>
        <c:numFmt formatCode="0.0;\-0.0;;@" sourceLinked="1"/>
        <c:majorTickMark val="none"/>
        <c:minorTickMark val="none"/>
        <c:tickLblPos val="nextTo"/>
        <c:crossAx val="1985352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0-1490-4697-AB25-B5AE6FDF60C1}"/>
            </c:ext>
          </c:extLst>
        </c:ser>
        <c:ser>
          <c:idx val="1"/>
          <c:order val="1"/>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1-1490-4697-AB25-B5AE6FDF60C1}"/>
            </c:ext>
          </c:extLst>
        </c:ser>
        <c:ser>
          <c:idx val="2"/>
          <c:order val="2"/>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2-1490-4697-AB25-B5AE6FDF60C1}"/>
            </c:ext>
          </c:extLst>
        </c:ser>
        <c:ser>
          <c:idx val="3"/>
          <c:order val="3"/>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3-1490-4697-AB25-B5AE6FDF60C1}"/>
            </c:ext>
          </c:extLst>
        </c:ser>
        <c:ser>
          <c:idx val="4"/>
          <c:order val="4"/>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4-1490-4697-AB25-B5AE6FDF60C1}"/>
            </c:ext>
          </c:extLst>
        </c:ser>
        <c:ser>
          <c:idx val="5"/>
          <c:order val="5"/>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5-1490-4697-AB25-B5AE6FDF60C1}"/>
            </c:ext>
          </c:extLst>
        </c:ser>
        <c:ser>
          <c:idx val="6"/>
          <c:order val="6"/>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6-1490-4697-AB25-B5AE6FDF60C1}"/>
            </c:ext>
          </c:extLst>
        </c:ser>
        <c:ser>
          <c:idx val="7"/>
          <c:order val="7"/>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7-1490-4697-AB25-B5AE6FDF60C1}"/>
            </c:ext>
          </c:extLst>
        </c:ser>
        <c:ser>
          <c:idx val="8"/>
          <c:order val="8"/>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8-1490-4697-AB25-B5AE6FDF60C1}"/>
            </c:ext>
          </c:extLst>
        </c:ser>
        <c:ser>
          <c:idx val="9"/>
          <c:order val="9"/>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9-1490-4697-AB25-B5AE6FDF60C1}"/>
            </c:ext>
          </c:extLst>
        </c:ser>
        <c:ser>
          <c:idx val="10"/>
          <c:order val="10"/>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A-1490-4697-AB25-B5AE6FDF60C1}"/>
            </c:ext>
          </c:extLst>
        </c:ser>
        <c:ser>
          <c:idx val="11"/>
          <c:order val="11"/>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B-1490-4697-AB25-B5AE6FDF60C1}"/>
            </c:ext>
          </c:extLst>
        </c:ser>
        <c:ser>
          <c:idx val="12"/>
          <c:order val="12"/>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C-1490-4697-AB25-B5AE6FDF60C1}"/>
            </c:ext>
          </c:extLst>
        </c:ser>
        <c:ser>
          <c:idx val="13"/>
          <c:order val="13"/>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D-1490-4697-AB25-B5AE6FDF60C1}"/>
            </c:ext>
          </c:extLst>
        </c:ser>
        <c:ser>
          <c:idx val="14"/>
          <c:order val="14"/>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E-1490-4697-AB25-B5AE6FDF60C1}"/>
            </c:ext>
          </c:extLst>
        </c:ser>
        <c:ser>
          <c:idx val="15"/>
          <c:order val="15"/>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F-1490-4697-AB25-B5AE6FDF60C1}"/>
            </c:ext>
          </c:extLst>
        </c:ser>
        <c:ser>
          <c:idx val="16"/>
          <c:order val="16"/>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0-1490-4697-AB25-B5AE6FDF60C1}"/>
            </c:ext>
          </c:extLst>
        </c:ser>
        <c:ser>
          <c:idx val="17"/>
          <c:order val="17"/>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1-1490-4697-AB25-B5AE6FDF60C1}"/>
            </c:ext>
          </c:extLst>
        </c:ser>
        <c:ser>
          <c:idx val="18"/>
          <c:order val="18"/>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2-1490-4697-AB25-B5AE6FDF60C1}"/>
            </c:ext>
          </c:extLst>
        </c:ser>
        <c:ser>
          <c:idx val="19"/>
          <c:order val="19"/>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3-1490-4697-AB25-B5AE6FDF60C1}"/>
            </c:ext>
          </c:extLst>
        </c:ser>
        <c:ser>
          <c:idx val="20"/>
          <c:order val="20"/>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4-1490-4697-AB25-B5AE6FDF60C1}"/>
            </c:ext>
          </c:extLst>
        </c:ser>
        <c:ser>
          <c:idx val="21"/>
          <c:order val="21"/>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5-1490-4697-AB25-B5AE6FDF60C1}"/>
            </c:ext>
          </c:extLst>
        </c:ser>
        <c:ser>
          <c:idx val="22"/>
          <c:order val="22"/>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6-1490-4697-AB25-B5AE6FDF60C1}"/>
            </c:ext>
          </c:extLst>
        </c:ser>
        <c:ser>
          <c:idx val="23"/>
          <c:order val="23"/>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7-1490-4697-AB25-B5AE6FDF60C1}"/>
            </c:ext>
          </c:extLst>
        </c:ser>
        <c:ser>
          <c:idx val="24"/>
          <c:order val="24"/>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8-1490-4697-AB25-B5AE6FDF60C1}"/>
            </c:ext>
          </c:extLst>
        </c:ser>
        <c:ser>
          <c:idx val="25"/>
          <c:order val="25"/>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9-1490-4697-AB25-B5AE6FDF60C1}"/>
            </c:ext>
          </c:extLst>
        </c:ser>
        <c:ser>
          <c:idx val="26"/>
          <c:order val="26"/>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A-1490-4697-AB25-B5AE6FDF60C1}"/>
            </c:ext>
          </c:extLst>
        </c:ser>
        <c:ser>
          <c:idx val="27"/>
          <c:order val="27"/>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B-1490-4697-AB25-B5AE6FDF60C1}"/>
            </c:ext>
          </c:extLst>
        </c:ser>
        <c:ser>
          <c:idx val="28"/>
          <c:order val="28"/>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C-1490-4697-AB25-B5AE6FDF60C1}"/>
            </c:ext>
          </c:extLst>
        </c:ser>
        <c:ser>
          <c:idx val="29"/>
          <c:order val="29"/>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D-1490-4697-AB25-B5AE6FDF60C1}"/>
            </c:ext>
          </c:extLst>
        </c:ser>
        <c:ser>
          <c:idx val="30"/>
          <c:order val="30"/>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E-1490-4697-AB25-B5AE6FDF60C1}"/>
            </c:ext>
          </c:extLst>
        </c:ser>
        <c:ser>
          <c:idx val="31"/>
          <c:order val="31"/>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F-1490-4697-AB25-B5AE6FDF60C1}"/>
            </c:ext>
          </c:extLst>
        </c:ser>
        <c:ser>
          <c:idx val="32"/>
          <c:order val="32"/>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0-1490-4697-AB25-B5AE6FDF60C1}"/>
            </c:ext>
          </c:extLst>
        </c:ser>
        <c:ser>
          <c:idx val="33"/>
          <c:order val="33"/>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1-1490-4697-AB25-B5AE6FDF60C1}"/>
            </c:ext>
          </c:extLst>
        </c:ser>
        <c:ser>
          <c:idx val="34"/>
          <c:order val="34"/>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2-1490-4697-AB25-B5AE6FDF60C1}"/>
            </c:ext>
          </c:extLst>
        </c:ser>
        <c:ser>
          <c:idx val="35"/>
          <c:order val="35"/>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3-1490-4697-AB25-B5AE6FDF60C1}"/>
            </c:ext>
          </c:extLst>
        </c:ser>
        <c:ser>
          <c:idx val="36"/>
          <c:order val="36"/>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4-1490-4697-AB25-B5AE6FDF60C1}"/>
            </c:ext>
          </c:extLst>
        </c:ser>
        <c:ser>
          <c:idx val="37"/>
          <c:order val="37"/>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5-1490-4697-AB25-B5AE6FDF60C1}"/>
            </c:ext>
          </c:extLst>
        </c:ser>
        <c:ser>
          <c:idx val="38"/>
          <c:order val="38"/>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6-1490-4697-AB25-B5AE6FDF60C1}"/>
            </c:ext>
          </c:extLst>
        </c:ser>
        <c:ser>
          <c:idx val="39"/>
          <c:order val="39"/>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7-1490-4697-AB25-B5AE6FDF60C1}"/>
            </c:ext>
          </c:extLst>
        </c:ser>
        <c:ser>
          <c:idx val="40"/>
          <c:order val="40"/>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8-1490-4697-AB25-B5AE6FDF60C1}"/>
            </c:ext>
          </c:extLst>
        </c:ser>
        <c:ser>
          <c:idx val="41"/>
          <c:order val="41"/>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9-1490-4697-AB25-B5AE6FDF60C1}"/>
            </c:ext>
          </c:extLst>
        </c:ser>
        <c:ser>
          <c:idx val="42"/>
          <c:order val="42"/>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A-1490-4697-AB25-B5AE6FDF60C1}"/>
            </c:ext>
          </c:extLst>
        </c:ser>
        <c:ser>
          <c:idx val="43"/>
          <c:order val="43"/>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B-1490-4697-AB25-B5AE6FDF60C1}"/>
            </c:ext>
          </c:extLst>
        </c:ser>
        <c:ser>
          <c:idx val="44"/>
          <c:order val="44"/>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C-1490-4697-AB25-B5AE6FDF60C1}"/>
            </c:ext>
          </c:extLst>
        </c:ser>
        <c:ser>
          <c:idx val="45"/>
          <c:order val="45"/>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D-1490-4697-AB25-B5AE6FDF60C1}"/>
            </c:ext>
          </c:extLst>
        </c:ser>
        <c:ser>
          <c:idx val="46"/>
          <c:order val="46"/>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E-1490-4697-AB25-B5AE6FDF60C1}"/>
            </c:ext>
          </c:extLst>
        </c:ser>
        <c:ser>
          <c:idx val="47"/>
          <c:order val="47"/>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F-1490-4697-AB25-B5AE6FDF60C1}"/>
            </c:ext>
          </c:extLst>
        </c:ser>
        <c:ser>
          <c:idx val="48"/>
          <c:order val="48"/>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0-1490-4697-AB25-B5AE6FDF60C1}"/>
            </c:ext>
          </c:extLst>
        </c:ser>
        <c:ser>
          <c:idx val="49"/>
          <c:order val="49"/>
          <c:spPr>
            <a:ln w="28575" cap="rnd">
              <a:solidFill>
                <a:schemeClr val="accent2">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1-1490-4697-AB25-B5AE6FDF60C1}"/>
            </c:ext>
          </c:extLst>
        </c:ser>
        <c:ser>
          <c:idx val="50"/>
          <c:order val="50"/>
          <c:spPr>
            <a:ln w="28575" cap="rnd">
              <a:solidFill>
                <a:schemeClr val="accent3">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2-1490-4697-AB25-B5AE6FDF60C1}"/>
            </c:ext>
          </c:extLst>
        </c:ser>
        <c:ser>
          <c:idx val="51"/>
          <c:order val="51"/>
          <c:spPr>
            <a:ln w="28575" cap="rnd">
              <a:solidFill>
                <a:schemeClr val="accent4">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3-1490-4697-AB25-B5AE6FDF60C1}"/>
            </c:ext>
          </c:extLst>
        </c:ser>
        <c:ser>
          <c:idx val="52"/>
          <c:order val="52"/>
          <c:spPr>
            <a:ln w="28575" cap="rnd">
              <a:solidFill>
                <a:schemeClr val="accent5">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4-1490-4697-AB25-B5AE6FDF60C1}"/>
            </c:ext>
          </c:extLst>
        </c:ser>
        <c:ser>
          <c:idx val="53"/>
          <c:order val="53"/>
          <c:spPr>
            <a:ln w="28575" cap="rnd">
              <a:solidFill>
                <a:schemeClr val="accent6">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5-1490-4697-AB25-B5AE6FDF60C1}"/>
            </c:ext>
          </c:extLst>
        </c:ser>
        <c:ser>
          <c:idx val="54"/>
          <c:order val="54"/>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6-1490-4697-AB25-B5AE6FDF60C1}"/>
            </c:ext>
          </c:extLst>
        </c:ser>
        <c:ser>
          <c:idx val="55"/>
          <c:order val="55"/>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7-1490-4697-AB25-B5AE6FDF60C1}"/>
            </c:ext>
          </c:extLst>
        </c:ser>
        <c:ser>
          <c:idx val="56"/>
          <c:order val="56"/>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8-1490-4697-AB25-B5AE6FDF60C1}"/>
            </c:ext>
          </c:extLst>
        </c:ser>
        <c:ser>
          <c:idx val="57"/>
          <c:order val="57"/>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9-1490-4697-AB25-B5AE6FDF60C1}"/>
            </c:ext>
          </c:extLst>
        </c:ser>
        <c:ser>
          <c:idx val="58"/>
          <c:order val="58"/>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A-1490-4697-AB25-B5AE6FDF60C1}"/>
            </c:ext>
          </c:extLst>
        </c:ser>
        <c:ser>
          <c:idx val="59"/>
          <c:order val="59"/>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B-1490-4697-AB25-B5AE6FDF60C1}"/>
            </c:ext>
          </c:extLst>
        </c:ser>
        <c:ser>
          <c:idx val="60"/>
          <c:order val="60"/>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C-1490-4697-AB25-B5AE6FDF60C1}"/>
            </c:ext>
          </c:extLst>
        </c:ser>
        <c:ser>
          <c:idx val="61"/>
          <c:order val="61"/>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D-1490-4697-AB25-B5AE6FDF60C1}"/>
            </c:ext>
          </c:extLst>
        </c:ser>
        <c:ser>
          <c:idx val="62"/>
          <c:order val="62"/>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E-1490-4697-AB25-B5AE6FDF60C1}"/>
            </c:ext>
          </c:extLst>
        </c:ser>
        <c:ser>
          <c:idx val="63"/>
          <c:order val="63"/>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F-1490-4697-AB25-B5AE6FDF60C1}"/>
            </c:ext>
          </c:extLst>
        </c:ser>
        <c:ser>
          <c:idx val="64"/>
          <c:order val="64"/>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0-1490-4697-AB25-B5AE6FDF60C1}"/>
            </c:ext>
          </c:extLst>
        </c:ser>
        <c:ser>
          <c:idx val="65"/>
          <c:order val="65"/>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1-1490-4697-AB25-B5AE6FDF60C1}"/>
            </c:ext>
          </c:extLst>
        </c:ser>
        <c:ser>
          <c:idx val="66"/>
          <c:order val="66"/>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2-1490-4697-AB25-B5AE6FDF60C1}"/>
            </c:ext>
          </c:extLst>
        </c:ser>
        <c:ser>
          <c:idx val="67"/>
          <c:order val="67"/>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3-1490-4697-AB25-B5AE6FDF60C1}"/>
            </c:ext>
          </c:extLst>
        </c:ser>
        <c:ser>
          <c:idx val="68"/>
          <c:order val="68"/>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4-1490-4697-AB25-B5AE6FDF60C1}"/>
            </c:ext>
          </c:extLst>
        </c:ser>
        <c:ser>
          <c:idx val="69"/>
          <c:order val="69"/>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5-1490-4697-AB25-B5AE6FDF60C1}"/>
            </c:ext>
          </c:extLst>
        </c:ser>
        <c:ser>
          <c:idx val="70"/>
          <c:order val="70"/>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6-1490-4697-AB25-B5AE6FDF60C1}"/>
            </c:ext>
          </c:extLst>
        </c:ser>
        <c:ser>
          <c:idx val="71"/>
          <c:order val="71"/>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7-1490-4697-AB25-B5AE6FDF60C1}"/>
            </c:ext>
          </c:extLst>
        </c:ser>
        <c:ser>
          <c:idx val="72"/>
          <c:order val="72"/>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8-1490-4697-AB25-B5AE6FDF60C1}"/>
            </c:ext>
          </c:extLst>
        </c:ser>
        <c:ser>
          <c:idx val="73"/>
          <c:order val="73"/>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9-1490-4697-AB25-B5AE6FDF60C1}"/>
            </c:ext>
          </c:extLst>
        </c:ser>
        <c:ser>
          <c:idx val="74"/>
          <c:order val="74"/>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A-1490-4697-AB25-B5AE6FDF60C1}"/>
            </c:ext>
          </c:extLst>
        </c:ser>
        <c:ser>
          <c:idx val="75"/>
          <c:order val="75"/>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B-1490-4697-AB25-B5AE6FDF60C1}"/>
            </c:ext>
          </c:extLst>
        </c:ser>
        <c:ser>
          <c:idx val="76"/>
          <c:order val="76"/>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C-1490-4697-AB25-B5AE6FDF60C1}"/>
            </c:ext>
          </c:extLst>
        </c:ser>
        <c:ser>
          <c:idx val="77"/>
          <c:order val="77"/>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D-1490-4697-AB25-B5AE6FDF60C1}"/>
            </c:ext>
          </c:extLst>
        </c:ser>
        <c:ser>
          <c:idx val="78"/>
          <c:order val="78"/>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E-1490-4697-AB25-B5AE6FDF60C1}"/>
            </c:ext>
          </c:extLst>
        </c:ser>
        <c:ser>
          <c:idx val="79"/>
          <c:order val="79"/>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F-1490-4697-AB25-B5AE6FDF60C1}"/>
            </c:ext>
          </c:extLst>
        </c:ser>
        <c:ser>
          <c:idx val="80"/>
          <c:order val="80"/>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0-1490-4697-AB25-B5AE6FDF60C1}"/>
            </c:ext>
          </c:extLst>
        </c:ser>
        <c:ser>
          <c:idx val="81"/>
          <c:order val="81"/>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1-1490-4697-AB25-B5AE6FDF60C1}"/>
            </c:ext>
          </c:extLst>
        </c:ser>
        <c:ser>
          <c:idx val="82"/>
          <c:order val="82"/>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2-1490-4697-AB25-B5AE6FDF60C1}"/>
            </c:ext>
          </c:extLst>
        </c:ser>
        <c:ser>
          <c:idx val="83"/>
          <c:order val="83"/>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3-1490-4697-AB25-B5AE6FDF60C1}"/>
            </c:ext>
          </c:extLst>
        </c:ser>
        <c:ser>
          <c:idx val="84"/>
          <c:order val="84"/>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4-1490-4697-AB25-B5AE6FDF60C1}"/>
            </c:ext>
          </c:extLst>
        </c:ser>
        <c:ser>
          <c:idx val="85"/>
          <c:order val="85"/>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5-1490-4697-AB25-B5AE6FDF60C1}"/>
            </c:ext>
          </c:extLst>
        </c:ser>
        <c:ser>
          <c:idx val="86"/>
          <c:order val="86"/>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6-1490-4697-AB25-B5AE6FDF60C1}"/>
            </c:ext>
          </c:extLst>
        </c:ser>
        <c:ser>
          <c:idx val="87"/>
          <c:order val="87"/>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7-1490-4697-AB25-B5AE6FDF60C1}"/>
            </c:ext>
          </c:extLst>
        </c:ser>
        <c:ser>
          <c:idx val="88"/>
          <c:order val="88"/>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8-1490-4697-AB25-B5AE6FDF60C1}"/>
            </c:ext>
          </c:extLst>
        </c:ser>
        <c:ser>
          <c:idx val="89"/>
          <c:order val="89"/>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9-1490-4697-AB25-B5AE6FDF60C1}"/>
            </c:ext>
          </c:extLst>
        </c:ser>
        <c:ser>
          <c:idx val="90"/>
          <c:order val="90"/>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A-1490-4697-AB25-B5AE6FDF60C1}"/>
            </c:ext>
          </c:extLst>
        </c:ser>
        <c:ser>
          <c:idx val="91"/>
          <c:order val="91"/>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B-1490-4697-AB25-B5AE6FDF60C1}"/>
            </c:ext>
          </c:extLst>
        </c:ser>
        <c:ser>
          <c:idx val="92"/>
          <c:order val="92"/>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C-1490-4697-AB25-B5AE6FDF60C1}"/>
            </c:ext>
          </c:extLst>
        </c:ser>
        <c:ser>
          <c:idx val="93"/>
          <c:order val="93"/>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D-1490-4697-AB25-B5AE6FDF60C1}"/>
            </c:ext>
          </c:extLst>
        </c:ser>
        <c:ser>
          <c:idx val="94"/>
          <c:order val="94"/>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E-1490-4697-AB25-B5AE6FDF60C1}"/>
            </c:ext>
          </c:extLst>
        </c:ser>
        <c:ser>
          <c:idx val="95"/>
          <c:order val="95"/>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F-1490-4697-AB25-B5AE6FDF60C1}"/>
            </c:ext>
          </c:extLst>
        </c:ser>
        <c:ser>
          <c:idx val="96"/>
          <c:order val="96"/>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0-1490-4697-AB25-B5AE6FDF60C1}"/>
            </c:ext>
          </c:extLst>
        </c:ser>
        <c:ser>
          <c:idx val="97"/>
          <c:order val="97"/>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1-1490-4697-AB25-B5AE6FDF60C1}"/>
            </c:ext>
          </c:extLst>
        </c:ser>
        <c:ser>
          <c:idx val="98"/>
          <c:order val="98"/>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2-1490-4697-AB25-B5AE6FDF60C1}"/>
            </c:ext>
          </c:extLst>
        </c:ser>
        <c:ser>
          <c:idx val="99"/>
          <c:order val="99"/>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3-1490-4697-AB25-B5AE6FDF60C1}"/>
            </c:ext>
          </c:extLst>
        </c:ser>
        <c:ser>
          <c:idx val="100"/>
          <c:order val="100"/>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4-1490-4697-AB25-B5AE6FDF60C1}"/>
            </c:ext>
          </c:extLst>
        </c:ser>
        <c:ser>
          <c:idx val="101"/>
          <c:order val="101"/>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5-1490-4697-AB25-B5AE6FDF60C1}"/>
            </c:ext>
          </c:extLst>
        </c:ser>
        <c:ser>
          <c:idx val="102"/>
          <c:order val="102"/>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6-1490-4697-AB25-B5AE6FDF60C1}"/>
            </c:ext>
          </c:extLst>
        </c:ser>
        <c:dLbls>
          <c:showLegendKey val="0"/>
          <c:showVal val="0"/>
          <c:showCatName val="0"/>
          <c:showSerName val="0"/>
          <c:showPercent val="0"/>
          <c:showBubbleSize val="0"/>
        </c:dLbls>
        <c:smooth val="0"/>
        <c:axId val="867241008"/>
        <c:axId val="867253488"/>
      </c:lineChart>
      <c:catAx>
        <c:axId val="8672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53488"/>
        <c:crosses val="autoZero"/>
        <c:auto val="1"/>
        <c:lblAlgn val="ctr"/>
        <c:lblOffset val="100"/>
        <c:noMultiLvlLbl val="0"/>
      </c:catAx>
      <c:valAx>
        <c:axId val="867253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261960674292927E-3"/>
          <c:y val="6.643494556830995E-2"/>
          <c:w val="0.98892560087745873"/>
          <c:h val="0.64489074758648646"/>
        </c:manualLayout>
      </c:layout>
      <c:barChart>
        <c:barDir val="bar"/>
        <c:grouping val="stacked"/>
        <c:varyColors val="0"/>
        <c:ser>
          <c:idx val="0"/>
          <c:order val="0"/>
          <c:spPr>
            <a:solidFill>
              <a:schemeClr val="accent1">
                <a:lumMod val="50000"/>
              </a:schemeClr>
            </a:solidFill>
            <a:ln>
              <a:noFill/>
            </a:ln>
            <a:effectLst/>
          </c:spPr>
          <c:invertIfNegative val="0"/>
          <c:dLbls>
            <c:dLbl>
              <c:idx val="0"/>
              <c:layout>
                <c:manualLayout>
                  <c:x val="-1.4410610989758202E-2"/>
                  <c:y val="0.11020982970277803"/>
                </c:manualLayout>
              </c:layout>
              <c:tx>
                <c:rich>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fld id="{27D8DA6D-55F2-4968-81F8-A55B945B8F0C}" type="CELLRANGE">
                      <a:rPr lang="en-US"/>
                      <a:pPr algn="ctr" rtl="0">
                        <a:defRPr>
                          <a:solidFill>
                            <a:schemeClr val="tx2">
                              <a:lumMod val="75000"/>
                            </a:schemeClr>
                          </a:solidFill>
                        </a:defRPr>
                      </a:pPr>
                      <a:t>[CELLRANGE]</a:t>
                    </a:fld>
                    <a:endParaRPr lang="en-IN"/>
                  </a:p>
                </c:rich>
              </c:tx>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48958"/>
                        <a:gd name="adj2" fmla="val 7326"/>
                      </a:avLst>
                    </a:prstGeom>
                    <a:noFill/>
                    <a:ln>
                      <a:noFill/>
                    </a:ln>
                  </c15:spPr>
                  <c15:dlblFieldTable/>
                  <c15:showDataLabelsRange val="1"/>
                </c:ext>
                <c:ext xmlns:c16="http://schemas.microsoft.com/office/drawing/2014/chart" uri="{C3380CC4-5D6E-409C-BE32-E72D297353CC}">
                  <c16:uniqueId val="{00000000-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Working!$H$4</c:f>
              <c:numCache>
                <c:formatCode>0%</c:formatCode>
                <c:ptCount val="1"/>
                <c:pt idx="0">
                  <c:v>0.23961661341853036</c:v>
                </c:pt>
              </c:numCache>
            </c:numRef>
          </c:val>
          <c:extLst>
            <c:ext xmlns:c15="http://schemas.microsoft.com/office/drawing/2012/chart" uri="{02D57815-91ED-43cb-92C2-25804820EDAC}">
              <c15:datalabelsRange>
                <c15:f>Working!$J$4</c15:f>
                <c15:dlblRangeCache>
                  <c:ptCount val="1"/>
                  <c:pt idx="0">
                    <c:v>76 days over</c:v>
                  </c:pt>
                </c15:dlblRangeCache>
              </c15:datalabelsRange>
            </c:ext>
            <c:ext xmlns:c16="http://schemas.microsoft.com/office/drawing/2014/chart" uri="{C3380CC4-5D6E-409C-BE32-E72D297353CC}">
              <c16:uniqueId val="{00000001-43BF-457B-B4E5-054BABB55D7C}"/>
            </c:ext>
          </c:extLst>
        </c:ser>
        <c:ser>
          <c:idx val="1"/>
          <c:order val="1"/>
          <c:spPr>
            <a:solidFill>
              <a:schemeClr val="bg1">
                <a:lumMod val="75000"/>
              </a:schemeClr>
            </a:solidFill>
            <a:ln>
              <a:noFill/>
            </a:ln>
            <a:effectLst/>
          </c:spPr>
          <c:invertIfNegative val="0"/>
          <c:dLbls>
            <c:dLbl>
              <c:idx val="0"/>
              <c:layout>
                <c:manualLayout>
                  <c:x val="4.1548314796056585E-3"/>
                  <c:y val="-0.17307905875927362"/>
                </c:manualLayout>
              </c:layout>
              <c:tx>
                <c:rich>
                  <a:bodyPr/>
                  <a:lstStyle/>
                  <a:p>
                    <a:fld id="{DF09AD90-2B15-44AE-89E1-4F064EC7E3C8}"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bg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Working!$H$5</c:f>
              <c:numCache>
                <c:formatCode>0%</c:formatCode>
                <c:ptCount val="1"/>
                <c:pt idx="0">
                  <c:v>0.67412140575079871</c:v>
                </c:pt>
              </c:numCache>
            </c:numRef>
          </c:val>
          <c:extLst>
            <c:ext xmlns:c15="http://schemas.microsoft.com/office/drawing/2012/chart" uri="{02D57815-91ED-43cb-92C2-25804820EDAC}">
              <c15:datalabelsRange>
                <c15:f>Working!$J$5</c15:f>
                <c15:dlblRangeCache>
                  <c:ptCount val="1"/>
                  <c:pt idx="0">
                    <c:v>211 study days left</c:v>
                  </c:pt>
                </c15:dlblRangeCache>
              </c15:datalabelsRange>
            </c:ext>
            <c:ext xmlns:c16="http://schemas.microsoft.com/office/drawing/2014/chart" uri="{C3380CC4-5D6E-409C-BE32-E72D297353CC}">
              <c16:uniqueId val="{00000003-43BF-457B-B4E5-054BABB55D7C}"/>
            </c:ext>
          </c:extLst>
        </c:ser>
        <c:ser>
          <c:idx val="2"/>
          <c:order val="2"/>
          <c:spPr>
            <a:solidFill>
              <a:schemeClr val="accent4">
                <a:lumMod val="60000"/>
                <a:lumOff val="40000"/>
              </a:schemeClr>
            </a:solidFill>
            <a:ln>
              <a:noFill/>
            </a:ln>
            <a:effectLst/>
          </c:spPr>
          <c:invertIfNegative val="0"/>
          <c:dLbls>
            <c:dLbl>
              <c:idx val="0"/>
              <c:layout>
                <c:manualLayout>
                  <c:x val="0"/>
                  <c:y val="-9.2645760320422377E-2"/>
                </c:manualLayout>
              </c:layout>
              <c:tx>
                <c:rich>
                  <a:bodyPr/>
                  <a:lstStyle/>
                  <a:p>
                    <a:fld id="{DC8CB809-BFB4-46BD-A45C-2F800EBDC4FE}" type="CELLRANGE">
                      <a:rPr lang="en-US">
                        <a:solidFill>
                          <a:schemeClr val="accent4">
                            <a:lumMod val="75000"/>
                          </a:schemeClr>
                        </a:solidFill>
                      </a:rPr>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Working!$H$6</c:f>
              <c:numCache>
                <c:formatCode>0%</c:formatCode>
                <c:ptCount val="1"/>
                <c:pt idx="0">
                  <c:v>1.5974440894568676E-2</c:v>
                </c:pt>
              </c:numCache>
            </c:numRef>
          </c:val>
          <c:extLst>
            <c:ext xmlns:c15="http://schemas.microsoft.com/office/drawing/2012/chart" uri="{02D57815-91ED-43cb-92C2-25804820EDAC}">
              <c15:datalabelsRange>
                <c15:f>Working!$J$6</c15:f>
                <c15:dlblRangeCache>
                  <c:ptCount val="1"/>
                  <c:pt idx="0">
                    <c:v>5  buffer days</c:v>
                  </c:pt>
                </c15:dlblRangeCache>
              </c15:datalabelsRange>
            </c:ext>
            <c:ext xmlns:c16="http://schemas.microsoft.com/office/drawing/2014/chart" uri="{C3380CC4-5D6E-409C-BE32-E72D297353CC}">
              <c16:uniqueId val="{00000005-43BF-457B-B4E5-054BABB55D7C}"/>
            </c:ext>
          </c:extLst>
        </c:ser>
        <c:ser>
          <c:idx val="3"/>
          <c:order val="3"/>
          <c:spPr>
            <a:solidFill>
              <a:schemeClr val="accent2">
                <a:lumMod val="60000"/>
                <a:lumOff val="40000"/>
              </a:schemeClr>
            </a:solidFill>
            <a:ln>
              <a:noFill/>
            </a:ln>
            <a:effectLst/>
          </c:spPr>
          <c:invertIfNegative val="0"/>
          <c:dPt>
            <c:idx val="0"/>
            <c:invertIfNegative val="0"/>
            <c:bubble3D val="0"/>
            <c:extLst>
              <c:ext xmlns:c16="http://schemas.microsoft.com/office/drawing/2014/chart" uri="{C3380CC4-5D6E-409C-BE32-E72D297353CC}">
                <c16:uniqueId val="{00000006-43BF-457B-B4E5-054BABB55D7C}"/>
              </c:ext>
            </c:extLst>
          </c:dPt>
          <c:dLbls>
            <c:dLbl>
              <c:idx val="0"/>
              <c:layout>
                <c:manualLayout>
                  <c:x val="0"/>
                  <c:y val="-0.21860966420472877"/>
                </c:manualLayout>
              </c:layout>
              <c:tx>
                <c:rich>
                  <a:bodyPr/>
                  <a:lstStyle/>
                  <a:p>
                    <a:fld id="{2A12B9C5-820F-49CF-A215-85C12AF83ECD}"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accent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Working!$H$7</c:f>
              <c:numCache>
                <c:formatCode>0%</c:formatCode>
                <c:ptCount val="1"/>
                <c:pt idx="0">
                  <c:v>6.7092651757188482E-2</c:v>
                </c:pt>
              </c:numCache>
            </c:numRef>
          </c:val>
          <c:extLst>
            <c:ext xmlns:c15="http://schemas.microsoft.com/office/drawing/2012/chart" uri="{02D57815-91ED-43cb-92C2-25804820EDAC}">
              <c15:datalabelsRange>
                <c15:f>Working!$J$7</c15:f>
                <c15:dlblRangeCache>
                  <c:ptCount val="1"/>
                  <c:pt idx="0">
                    <c:v>21 revision days</c:v>
                  </c:pt>
                </c15:dlblRangeCache>
              </c15:datalabelsRange>
            </c:ext>
            <c:ext xmlns:c16="http://schemas.microsoft.com/office/drawing/2014/chart" uri="{C3380CC4-5D6E-409C-BE32-E72D297353CC}">
              <c16:uniqueId val="{00000007-43BF-457B-B4E5-054BABB55D7C}"/>
            </c:ext>
          </c:extLst>
        </c:ser>
        <c:dLbls>
          <c:showLegendKey val="0"/>
          <c:showVal val="0"/>
          <c:showCatName val="0"/>
          <c:showSerName val="0"/>
          <c:showPercent val="0"/>
          <c:showBubbleSize val="0"/>
        </c:dLbls>
        <c:gapWidth val="500"/>
        <c:overlap val="100"/>
        <c:axId val="1347660319"/>
        <c:axId val="1347663647"/>
      </c:barChart>
      <c:barChart>
        <c:barDir val="bar"/>
        <c:grouping val="clustered"/>
        <c:varyColors val="0"/>
        <c:ser>
          <c:idx val="4"/>
          <c:order val="4"/>
          <c:tx>
            <c:v>begin</c:v>
          </c:tx>
          <c:spPr>
            <a:noFill/>
            <a:ln>
              <a:noFill/>
            </a:ln>
            <a:effectLst/>
          </c:spPr>
          <c:invertIfNegative val="0"/>
          <c:dLbls>
            <c:dLbl>
              <c:idx val="0"/>
              <c:layout>
                <c:manualLayout>
                  <c:x val="-2.4409970392388815E-2"/>
                  <c:y val="0.145356794736634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fld id="{B86FC869-6980-4507-87B0-8BABF16585E5}" type="CELLRANGE">
                      <a:rPr lang="en-US"/>
                      <a:pPr>
                        <a:defRPr/>
                      </a:pPr>
                      <a:t>[CELLRANGE]</a:t>
                    </a:fld>
                    <a:endParaRPr lang="en-IN"/>
                  </a:p>
                </c:rich>
              </c:tx>
              <c:spPr>
                <a:xfrm>
                  <a:off x="0" y="597120"/>
                  <a:ext cx="735332" cy="354827"/>
                </a:xfrm>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5782"/>
                        <a:gd name="adj2" fmla="val -44551"/>
                      </a:avLst>
                    </a:prstGeom>
                    <a:noFill/>
                    <a:ln>
                      <a:noFill/>
                    </a:ln>
                  </c15:spPr>
                  <c15:layout>
                    <c:manualLayout>
                      <c:w val="6.3515809119626024E-2"/>
                      <c:h val="0.30382977921784343"/>
                    </c:manualLayout>
                  </c15:layout>
                  <c15:dlblFieldTable/>
                  <c15:showDataLabelsRange val="1"/>
                </c:ext>
                <c:ext xmlns:c16="http://schemas.microsoft.com/office/drawing/2014/chart" uri="{C3380CC4-5D6E-409C-BE32-E72D297353CC}">
                  <c16:uniqueId val="{00000008-43BF-457B-B4E5-054BABB55D7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val>
            <c:numRef>
              <c:f>Working!$I$3</c:f>
              <c:numCache>
                <c:formatCode>0%</c:formatCode>
                <c:ptCount val="1"/>
                <c:pt idx="0">
                  <c:v>3.1948881789137379E-3</c:v>
                </c:pt>
              </c:numCache>
            </c:numRef>
          </c:val>
          <c:extLst>
            <c:ext xmlns:c15="http://schemas.microsoft.com/office/drawing/2012/chart" uri="{02D57815-91ED-43cb-92C2-25804820EDAC}">
              <c15:datalabelsRange>
                <c15:f>Working!$K$3</c15:f>
                <c15:dlblRangeCache>
                  <c:ptCount val="1"/>
                  <c:pt idx="0">
                    <c:v>Start 
11-Jan-24</c:v>
                  </c:pt>
                </c15:dlblRangeCache>
              </c15:datalabelsRange>
            </c:ext>
            <c:ext xmlns:c16="http://schemas.microsoft.com/office/drawing/2014/chart" uri="{C3380CC4-5D6E-409C-BE32-E72D297353CC}">
              <c16:uniqueId val="{00000009-43BF-457B-B4E5-054BABB55D7C}"/>
            </c:ext>
          </c:extLst>
        </c:ser>
        <c:ser>
          <c:idx val="5"/>
          <c:order val="5"/>
          <c:tx>
            <c:v>today</c:v>
          </c:tx>
          <c:spPr>
            <a:noFill/>
            <a:ln>
              <a:noFill/>
            </a:ln>
            <a:effectLst/>
          </c:spPr>
          <c:invertIfNegative val="0"/>
          <c:dLbls>
            <c:dLbl>
              <c:idx val="0"/>
              <c:layout>
                <c:manualLayout>
                  <c:x val="-4.508787739068406E-2"/>
                  <c:y val="5.9637750821270152E-2"/>
                </c:manualLayout>
              </c:layout>
              <c:tx>
                <c:rich>
                  <a:bodyPr/>
                  <a:lstStyle/>
                  <a:p>
                    <a:fld id="{1696C872-CDE7-422F-B333-E9E9BB357095}"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layout>
                    <c:manualLayout>
                      <c:w val="0.10530843790628922"/>
                      <c:h val="0.12334565650806611"/>
                    </c:manualLayout>
                  </c15:layout>
                  <c15:dlblFieldTable/>
                  <c15:showDataLabelsRange val="1"/>
                </c:ext>
                <c:ext xmlns:c16="http://schemas.microsoft.com/office/drawing/2014/chart" uri="{C3380CC4-5D6E-409C-BE32-E72D297353CC}">
                  <c16:uniqueId val="{0000000A-43BF-457B-B4E5-054BABB55D7C}"/>
                </c:ext>
              </c:extLst>
            </c:dLbl>
            <c:spPr>
              <a:noFill/>
              <a:ln>
                <a:noFill/>
              </a:ln>
              <a:effectLst/>
            </c:spPr>
            <c:txPr>
              <a:bodyPr rot="0" spcFirstLastPara="1" vertOverflow="ellipsis" vert="horz" wrap="square" anchor="ctr" anchorCtr="1"/>
              <a:lstStyle/>
              <a:p>
                <a:pPr algn="ct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Working!$I$4</c:f>
              <c:numCache>
                <c:formatCode>0%</c:formatCode>
                <c:ptCount val="1"/>
                <c:pt idx="0">
                  <c:v>0.24281150159744408</c:v>
                </c:pt>
              </c:numCache>
            </c:numRef>
          </c:val>
          <c:extLst>
            <c:ext xmlns:c15="http://schemas.microsoft.com/office/drawing/2012/chart" uri="{02D57815-91ED-43cb-92C2-25804820EDAC}">
              <c15:datalabelsRange>
                <c15:f>Working!$K$4</c15:f>
                <c15:dlblRangeCache>
                  <c:ptCount val="1"/>
                  <c:pt idx="0">
                    <c:v>Today 27-Mar-24</c:v>
                  </c:pt>
                </c15:dlblRangeCache>
              </c15:datalabelsRange>
            </c:ext>
            <c:ext xmlns:c16="http://schemas.microsoft.com/office/drawing/2014/chart" uri="{C3380CC4-5D6E-409C-BE32-E72D297353CC}">
              <c16:uniqueId val="{0000000B-43BF-457B-B4E5-054BABB55D7C}"/>
            </c:ext>
          </c:extLst>
        </c:ser>
        <c:ser>
          <c:idx val="6"/>
          <c:order val="6"/>
          <c:tx>
            <c:v>lecture</c:v>
          </c:tx>
          <c:spPr>
            <a:noFill/>
            <a:ln>
              <a:noFill/>
            </a:ln>
            <a:effectLst/>
          </c:spPr>
          <c:invertIfNegative val="0"/>
          <c:val>
            <c:numRef>
              <c:f>Working!$I$5</c:f>
              <c:numCache>
                <c:formatCode>0%</c:formatCode>
                <c:ptCount val="1"/>
                <c:pt idx="0">
                  <c:v>0.91693290734824284</c:v>
                </c:pt>
              </c:numCache>
            </c:numRef>
          </c:val>
          <c:extLst>
            <c:ext xmlns:c16="http://schemas.microsoft.com/office/drawing/2014/chart" uri="{C3380CC4-5D6E-409C-BE32-E72D297353CC}">
              <c16:uniqueId val="{0000000C-43BF-457B-B4E5-054BABB55D7C}"/>
            </c:ext>
          </c:extLst>
        </c:ser>
        <c:ser>
          <c:idx val="7"/>
          <c:order val="7"/>
          <c:tx>
            <c:v>revision</c:v>
          </c:tx>
          <c:spPr>
            <a:noFill/>
            <a:ln>
              <a:noFill/>
            </a:ln>
            <a:effectLst/>
          </c:spPr>
          <c:invertIfNegative val="0"/>
          <c:val>
            <c:numRef>
              <c:f>Working!$I$6</c:f>
              <c:numCache>
                <c:formatCode>0%</c:formatCode>
                <c:ptCount val="1"/>
                <c:pt idx="0">
                  <c:v>0.93290734824281152</c:v>
                </c:pt>
              </c:numCache>
            </c:numRef>
          </c:val>
          <c:extLst>
            <c:ext xmlns:c16="http://schemas.microsoft.com/office/drawing/2014/chart" uri="{C3380CC4-5D6E-409C-BE32-E72D297353CC}">
              <c16:uniqueId val="{0000000D-43BF-457B-B4E5-054BABB55D7C}"/>
            </c:ext>
          </c:extLst>
        </c:ser>
        <c:ser>
          <c:idx val="8"/>
          <c:order val="8"/>
          <c:tx>
            <c:v>exam</c:v>
          </c:tx>
          <c:spPr>
            <a:noFill/>
            <a:ln>
              <a:noFill/>
            </a:ln>
            <a:effectLst/>
          </c:spPr>
          <c:invertIfNegative val="0"/>
          <c:dLbls>
            <c:dLbl>
              <c:idx val="0"/>
              <c:layout>
                <c:manualLayout>
                  <c:x val="-7.1356833003855369E-2"/>
                  <c:y val="0.36269382192610539"/>
                </c:manualLayout>
              </c:layout>
              <c:tx>
                <c:rich>
                  <a:bodyPr/>
                  <a:lstStyle/>
                  <a:p>
                    <a:fld id="{E8D921F0-422B-470A-AC2D-751FA27FBF12}" type="CELLRANGE">
                      <a:rPr lang="en-US"/>
                      <a:pPr/>
                      <a:t>[CELLRANGE]</a:t>
                    </a:fld>
                    <a:endParaRPr lang="en-IN"/>
                  </a:p>
                </c:rich>
              </c:tx>
              <c:showLegendKey val="0"/>
              <c:showVal val="1"/>
              <c:showCatName val="0"/>
              <c:showSerName val="0"/>
              <c:showPercent val="0"/>
              <c:showBubbleSize val="0"/>
              <c:extLst>
                <c:ext xmlns:c15="http://schemas.microsoft.com/office/drawing/2012/chart" uri="{CE6537A1-D6FC-4f65-9D91-7224C49458BB}">
                  <c15:layout>
                    <c:manualLayout>
                      <c:w val="9.3660319774062764E-2"/>
                      <c:h val="0.14742843246723888"/>
                    </c:manualLayout>
                  </c15:layout>
                  <c15:dlblFieldTable/>
                  <c15:showDataLabelsRange val="1"/>
                </c:ext>
                <c:ext xmlns:c16="http://schemas.microsoft.com/office/drawing/2014/chart" uri="{C3380CC4-5D6E-409C-BE32-E72D297353CC}">
                  <c16:uniqueId val="{0000000E-43BF-457B-B4E5-054BABB55D7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Working!$I$7</c:f>
              <c:numCache>
                <c:formatCode>0%</c:formatCode>
                <c:ptCount val="1"/>
                <c:pt idx="0">
                  <c:v>1</c:v>
                </c:pt>
              </c:numCache>
            </c:numRef>
          </c:val>
          <c:extLst>
            <c:ext xmlns:c15="http://schemas.microsoft.com/office/drawing/2012/chart" uri="{02D57815-91ED-43cb-92C2-25804820EDAC}">
              <c15:datalabelsRange>
                <c15:f>Working!$K$7</c15:f>
                <c15:dlblRangeCache>
                  <c:ptCount val="1"/>
                  <c:pt idx="0">
                    <c:v>Exam 19-Nov-24</c:v>
                  </c:pt>
                </c15:dlblRangeCache>
              </c15:datalabelsRange>
            </c:ext>
            <c:ext xmlns:c16="http://schemas.microsoft.com/office/drawing/2014/chart" uri="{C3380CC4-5D6E-409C-BE32-E72D297353CC}">
              <c16:uniqueId val="{0000000F-43BF-457B-B4E5-054BABB55D7C}"/>
            </c:ext>
          </c:extLst>
        </c:ser>
        <c:dLbls>
          <c:showLegendKey val="0"/>
          <c:showVal val="0"/>
          <c:showCatName val="0"/>
          <c:showSerName val="0"/>
          <c:showPercent val="0"/>
          <c:showBubbleSize val="0"/>
        </c:dLbls>
        <c:gapWidth val="500"/>
        <c:axId val="1154661567"/>
        <c:axId val="1154663647"/>
      </c:barChart>
      <c:catAx>
        <c:axId val="1347660319"/>
        <c:scaling>
          <c:orientation val="minMax"/>
        </c:scaling>
        <c:delete val="1"/>
        <c:axPos val="l"/>
        <c:numFmt formatCode="0%" sourceLinked="1"/>
        <c:majorTickMark val="out"/>
        <c:minorTickMark val="none"/>
        <c:tickLblPos val="nextTo"/>
        <c:crossAx val="1347663647"/>
        <c:crosses val="autoZero"/>
        <c:auto val="1"/>
        <c:lblAlgn val="ctr"/>
        <c:lblOffset val="100"/>
        <c:noMultiLvlLbl val="0"/>
      </c:catAx>
      <c:valAx>
        <c:axId val="1347663647"/>
        <c:scaling>
          <c:orientation val="minMax"/>
        </c:scaling>
        <c:delete val="1"/>
        <c:axPos val="b"/>
        <c:numFmt formatCode="0%" sourceLinked="1"/>
        <c:majorTickMark val="out"/>
        <c:minorTickMark val="none"/>
        <c:tickLblPos val="nextTo"/>
        <c:crossAx val="1347660319"/>
        <c:crosses val="autoZero"/>
        <c:crossBetween val="between"/>
      </c:valAx>
      <c:valAx>
        <c:axId val="1154663647"/>
        <c:scaling>
          <c:orientation val="minMax"/>
          <c:max val="1"/>
        </c:scaling>
        <c:delete val="1"/>
        <c:axPos val="t"/>
        <c:numFmt formatCode="0%" sourceLinked="1"/>
        <c:majorTickMark val="out"/>
        <c:minorTickMark val="none"/>
        <c:tickLblPos val="nextTo"/>
        <c:crossAx val="1154661567"/>
        <c:crosses val="max"/>
        <c:crossBetween val="between"/>
      </c:valAx>
      <c:catAx>
        <c:axId val="1154661567"/>
        <c:scaling>
          <c:orientation val="minMax"/>
        </c:scaling>
        <c:delete val="1"/>
        <c:axPos val="r"/>
        <c:numFmt formatCode="0%" sourceLinked="1"/>
        <c:majorTickMark val="out"/>
        <c:minorTickMark val="none"/>
        <c:tickLblPos val="nextTo"/>
        <c:crossAx val="1154663647"/>
        <c:crosses val="max"/>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latin typeface="Tw Cen MT" panose="020B0602020104020603"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73A-43D9-A160-6477D2F1F8FB}"/>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73A-43D9-A160-6477D2F1F8FB}"/>
              </c:ext>
            </c:extLst>
          </c:dPt>
          <c:dPt>
            <c:idx val="2"/>
            <c:bubble3D val="0"/>
            <c:spPr>
              <a:solidFill>
                <a:srgbClr val="FFA3A3"/>
              </a:solidFill>
              <a:ln w="19050">
                <a:noFill/>
              </a:ln>
              <a:effectLst/>
            </c:spPr>
            <c:extLst>
              <c:ext xmlns:c16="http://schemas.microsoft.com/office/drawing/2014/chart" uri="{C3380CC4-5D6E-409C-BE32-E72D297353CC}">
                <c16:uniqueId val="{00000005-F73A-43D9-A160-6477D2F1F8FB}"/>
              </c:ext>
            </c:extLst>
          </c:dPt>
          <c:dPt>
            <c:idx val="3"/>
            <c:bubble3D val="0"/>
            <c:spPr>
              <a:solidFill>
                <a:srgbClr val="FF7979"/>
              </a:solidFill>
              <a:ln w="19050">
                <a:noFill/>
              </a:ln>
              <a:effectLst/>
            </c:spPr>
            <c:extLst>
              <c:ext xmlns:c16="http://schemas.microsoft.com/office/drawing/2014/chart" uri="{C3380CC4-5D6E-409C-BE32-E72D297353CC}">
                <c16:uniqueId val="{00000007-F73A-43D9-A160-6477D2F1F8FB}"/>
              </c:ext>
            </c:extLst>
          </c:dPt>
          <c:dLbls>
            <c:dLbl>
              <c:idx val="0"/>
              <c:tx>
                <c:rich>
                  <a:bodyPr/>
                  <a:lstStyle/>
                  <a:p>
                    <a:fld id="{C52A8CE4-F73E-499F-8895-E7E704126FFB}"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73A-43D9-A160-6477D2F1F8FB}"/>
                </c:ext>
              </c:extLst>
            </c:dLbl>
            <c:dLbl>
              <c:idx val="1"/>
              <c:tx>
                <c:rich>
                  <a:bodyPr/>
                  <a:lstStyle/>
                  <a:p>
                    <a:fld id="{F3F3C5C7-FB26-4735-94CD-772F229B6AFF}"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73A-43D9-A160-6477D2F1F8FB}"/>
                </c:ext>
              </c:extLst>
            </c:dLbl>
            <c:dLbl>
              <c:idx val="2"/>
              <c:tx>
                <c:rich>
                  <a:bodyPr/>
                  <a:lstStyle/>
                  <a:p>
                    <a:fld id="{9FB3CF76-33E2-4823-B865-4BBA9E30D49F}"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73A-43D9-A160-6477D2F1F8FB}"/>
                </c:ext>
              </c:extLst>
            </c:dLbl>
            <c:dLbl>
              <c:idx val="3"/>
              <c:tx>
                <c:rich>
                  <a:bodyPr/>
                  <a:lstStyle/>
                  <a:p>
                    <a:fld id="{E089A72F-DFCF-4390-A342-2D91E02218D4}"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73A-43D9-A160-6477D2F1F8F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0.26480836236933797</c:v>
                </c:pt>
                <c:pt idx="3">
                  <c:v>0.73519163763066209</c:v>
                </c:pt>
              </c:numCache>
            </c:numRef>
          </c:val>
          <c:extLst>
            <c:ext xmlns:c15="http://schemas.microsoft.com/office/drawing/2012/chart" uri="{02D57815-91ED-43cb-92C2-25804820EDAC}">
              <c15:datalabelsRange>
                <c15:f>Working!$E$47:$E$50</c15:f>
                <c15:dlblRangeCache>
                  <c:ptCount val="4"/>
                  <c:pt idx="2">
                    <c:v>Extra Undone, 27</c:v>
                  </c:pt>
                  <c:pt idx="3">
                    <c:v>Undone, 76</c:v>
                  </c:pt>
                </c15:dlblRangeCache>
              </c15:datalabelsRange>
            </c:ext>
            <c:ext xmlns:c16="http://schemas.microsoft.com/office/drawing/2014/chart" uri="{C3380CC4-5D6E-409C-BE32-E72D297353CC}">
              <c16:uniqueId val="{00000008-F73A-43D9-A160-6477D2F1F8F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[FRM Part 2 Performance Tracker '24.xlsx]Working!PivotTable1</c:name>
    <c:fmtId val="8"/>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2">
              <a:shade val="76000"/>
            </a:schemeClr>
          </a:solidFill>
          <a:ln w="19050">
            <a:solidFill>
              <a:schemeClr val="lt1"/>
            </a:solidFill>
          </a:ln>
          <a:effectLst/>
        </c:spPr>
      </c:pivotFmt>
      <c:pivotFmt>
        <c:idx val="2"/>
        <c:spPr>
          <a:solidFill>
            <a:schemeClr val="accent2">
              <a:shade val="76000"/>
            </a:schemeClr>
          </a:solidFill>
          <a:ln w="19050">
            <a:solidFill>
              <a:schemeClr val="lt1"/>
            </a:solidFill>
          </a:ln>
          <a:effectLst/>
        </c:spPr>
      </c:pivotFmt>
      <c:pivotFmt>
        <c:idx val="3"/>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2">
              <a:shade val="76000"/>
            </a:schemeClr>
          </a:solidFill>
          <a:ln w="19050">
            <a:solidFill>
              <a:schemeClr val="lt1"/>
            </a:solidFill>
          </a:ln>
          <a:effectLst/>
        </c:spPr>
      </c:pivotFmt>
      <c:pivotFmt>
        <c:idx val="5"/>
        <c:spPr>
          <a:solidFill>
            <a:schemeClr val="accent2"/>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tx1">
              <a:lumMod val="50000"/>
              <a:lumOff val="50000"/>
            </a:schemeClr>
          </a:solidFill>
          <a:ln w="19050">
            <a:solidFill>
              <a:schemeClr val="tx1">
                <a:lumMod val="50000"/>
                <a:lumOff val="50000"/>
              </a:schemeClr>
            </a:solidFill>
          </a:ln>
          <a:effectLst/>
        </c:spPr>
      </c:pivotFmt>
      <c:pivotFmt>
        <c:idx val="7"/>
        <c:spPr>
          <a:solidFill>
            <a:schemeClr val="bg1">
              <a:lumMod val="85000"/>
            </a:schemeClr>
          </a:solidFill>
          <a:ln w="19050">
            <a:solidFill>
              <a:schemeClr val="tx1">
                <a:lumMod val="50000"/>
                <a:lumOff val="50000"/>
              </a:schemeClr>
            </a:solidFill>
          </a:ln>
          <a:effectLst/>
        </c:spPr>
      </c:pivotFmt>
      <c:pivotFmt>
        <c:idx val="8"/>
        <c:spPr>
          <a:solidFill>
            <a:schemeClr val="accent2">
              <a:tint val="77000"/>
            </a:schemeClr>
          </a:solidFill>
          <a:ln w="19050">
            <a:noFill/>
          </a:ln>
          <a:effectLst/>
        </c:spPr>
      </c:pivotFmt>
    </c:pivotFmts>
    <c:plotArea>
      <c:layout/>
      <c:doughnutChart>
        <c:varyColors val="1"/>
        <c:ser>
          <c:idx val="0"/>
          <c:order val="0"/>
          <c:tx>
            <c:strRef>
              <c:f>Working!$C$77</c:f>
              <c:strCache>
                <c:ptCount val="1"/>
                <c:pt idx="0">
                  <c:v>Total</c:v>
                </c:pt>
              </c:strCache>
            </c:strRef>
          </c:tx>
          <c:spPr>
            <a:ln>
              <a:noFill/>
            </a:ln>
          </c:spPr>
          <c:dPt>
            <c:idx val="0"/>
            <c:bubble3D val="0"/>
            <c:spPr>
              <a:solidFill>
                <a:schemeClr val="bg1">
                  <a:lumMod val="85000"/>
                </a:schemeClr>
              </a:solidFill>
              <a:ln w="19050">
                <a:solidFill>
                  <a:schemeClr val="tx1">
                    <a:lumMod val="50000"/>
                    <a:lumOff val="50000"/>
                  </a:schemeClr>
                </a:solidFill>
              </a:ln>
              <a:effectLst/>
            </c:spPr>
            <c:extLst>
              <c:ext xmlns:c16="http://schemas.microsoft.com/office/drawing/2014/chart" uri="{C3380CC4-5D6E-409C-BE32-E72D297353CC}">
                <c16:uniqueId val="{00000001-7242-4029-8D62-58915CD86FF7}"/>
              </c:ext>
            </c:extLst>
          </c:dPt>
          <c:dPt>
            <c:idx val="1"/>
            <c:bubble3D val="0"/>
            <c:spPr>
              <a:solidFill>
                <a:schemeClr val="accent2">
                  <a:tint val="30000"/>
                </a:schemeClr>
              </a:solidFill>
              <a:ln w="19050">
                <a:noFill/>
              </a:ln>
              <a:effectLst/>
            </c:spPr>
            <c:extLst>
              <c:ext xmlns:c16="http://schemas.microsoft.com/office/drawing/2014/chart" uri="{C3380CC4-5D6E-409C-BE32-E72D297353CC}">
                <c16:uniqueId val="{00000003-7242-4029-8D62-58915CD86FF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Working!$B$78:$B$79</c:f>
              <c:strCache>
                <c:ptCount val="1"/>
                <c:pt idx="0">
                  <c:v>U</c:v>
                </c:pt>
              </c:strCache>
            </c:strRef>
          </c:cat>
          <c:val>
            <c:numRef>
              <c:f>Working!$C$78:$C$79</c:f>
              <c:numCache>
                <c:formatCode>General</c:formatCode>
                <c:ptCount val="1"/>
                <c:pt idx="0">
                  <c:v>103</c:v>
                </c:pt>
              </c:numCache>
            </c:numRef>
          </c:val>
          <c:extLst>
            <c:ext xmlns:c16="http://schemas.microsoft.com/office/drawing/2014/chart" uri="{C3380CC4-5D6E-409C-BE32-E72D297353CC}">
              <c16:uniqueId val="{00000004-7242-4029-8D62-58915CD86FF7}"/>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pivotSource>
    <c:name>[FRM Part 2 Performance Tracker '24.xlsx]Working!PivotTable2</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4">
              <a:shade val="76000"/>
            </a:schemeClr>
          </a:solidFill>
          <a:ln w="19050">
            <a:solidFill>
              <a:schemeClr val="lt1"/>
            </a:solidFill>
          </a:ln>
          <a:effectLst/>
        </c:spPr>
      </c:pivotFmt>
      <c:pivotFmt>
        <c:idx val="2"/>
        <c:spPr>
          <a:solidFill>
            <a:schemeClr val="accent4">
              <a:shade val="76000"/>
            </a:schemeClr>
          </a:solidFill>
          <a:ln w="19050">
            <a:solidFill>
              <a:schemeClr val="lt1"/>
            </a:solidFill>
          </a:ln>
          <a:effectLst/>
        </c:spPr>
      </c:pivotFmt>
      <c:pivotFmt>
        <c:idx val="3"/>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4">
              <a:shade val="76000"/>
            </a:schemeClr>
          </a:solidFill>
          <a:ln w="19050">
            <a:solidFill>
              <a:schemeClr val="lt1"/>
            </a:solidFill>
          </a:ln>
          <a:effectLst/>
        </c:spPr>
      </c:pivotFmt>
      <c:pivotFmt>
        <c:idx val="5"/>
        <c:spPr>
          <a:solidFill>
            <a:schemeClr val="accent4"/>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6">
              <a:lumMod val="60000"/>
              <a:lumOff val="40000"/>
            </a:schemeClr>
          </a:solidFill>
          <a:ln w="19050">
            <a:solidFill>
              <a:schemeClr val="accent6">
                <a:lumMod val="60000"/>
                <a:lumOff val="40000"/>
              </a:schemeClr>
            </a:solidFill>
          </a:ln>
          <a:effectLst/>
        </c:spPr>
      </c:pivotFmt>
      <c:pivotFmt>
        <c:idx val="7"/>
        <c:spPr>
          <a:solidFill>
            <a:schemeClr val="accent6">
              <a:lumMod val="20000"/>
              <a:lumOff val="80000"/>
            </a:schemeClr>
          </a:solidFill>
          <a:ln w="19050">
            <a:solidFill>
              <a:schemeClr val="accent6">
                <a:lumMod val="60000"/>
                <a:lumOff val="40000"/>
              </a:schemeClr>
            </a:solidFill>
          </a:ln>
          <a:effectLst/>
        </c:spPr>
      </c:pivotFmt>
      <c:pivotFmt>
        <c:idx val="8"/>
        <c:spPr>
          <a:solidFill>
            <a:schemeClr val="accent4">
              <a:tint val="77000"/>
            </a:schemeClr>
          </a:solidFill>
          <a:ln w="19050">
            <a:noFill/>
          </a:ln>
          <a:effectLst/>
        </c:spPr>
      </c:pivotFmt>
    </c:pivotFmts>
    <c:plotArea>
      <c:layout/>
      <c:doughnutChart>
        <c:varyColors val="1"/>
        <c:ser>
          <c:idx val="0"/>
          <c:order val="0"/>
          <c:tx>
            <c:strRef>
              <c:f>Working!$C$82</c:f>
              <c:strCache>
                <c:ptCount val="1"/>
                <c:pt idx="0">
                  <c:v>Total</c:v>
                </c:pt>
              </c:strCache>
            </c:strRef>
          </c:tx>
          <c:spPr>
            <a:ln>
              <a:noFill/>
            </a:ln>
          </c:spPr>
          <c:dPt>
            <c:idx val="0"/>
            <c:bubble3D val="0"/>
            <c:spPr>
              <a:solidFill>
                <a:schemeClr val="accent6">
                  <a:lumMod val="20000"/>
                  <a:lumOff val="80000"/>
                </a:schemeClr>
              </a:solidFill>
              <a:ln w="19050">
                <a:solidFill>
                  <a:schemeClr val="accent6">
                    <a:lumMod val="60000"/>
                    <a:lumOff val="40000"/>
                  </a:schemeClr>
                </a:solidFill>
              </a:ln>
              <a:effectLst/>
            </c:spPr>
            <c:extLst>
              <c:ext xmlns:c16="http://schemas.microsoft.com/office/drawing/2014/chart" uri="{C3380CC4-5D6E-409C-BE32-E72D297353CC}">
                <c16:uniqueId val="{00000001-A00C-47CB-86B5-6A209CE71263}"/>
              </c:ext>
            </c:extLst>
          </c:dPt>
          <c:dPt>
            <c:idx val="1"/>
            <c:bubble3D val="0"/>
            <c:spPr>
              <a:solidFill>
                <a:schemeClr val="accent4">
                  <a:tint val="30000"/>
                </a:schemeClr>
              </a:solidFill>
              <a:ln w="19050">
                <a:noFill/>
              </a:ln>
              <a:effectLst/>
            </c:spPr>
            <c:extLst>
              <c:ext xmlns:c16="http://schemas.microsoft.com/office/drawing/2014/chart" uri="{C3380CC4-5D6E-409C-BE32-E72D297353CC}">
                <c16:uniqueId val="{00000003-A00C-47CB-86B5-6A209CE712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Working!$B$83:$B$84</c:f>
              <c:strCache>
                <c:ptCount val="1"/>
                <c:pt idx="0">
                  <c:v>U</c:v>
                </c:pt>
              </c:strCache>
            </c:strRef>
          </c:cat>
          <c:val>
            <c:numRef>
              <c:f>Working!$C$83:$C$84</c:f>
              <c:numCache>
                <c:formatCode>General</c:formatCode>
                <c:ptCount val="1"/>
                <c:pt idx="0">
                  <c:v>103</c:v>
                </c:pt>
              </c:numCache>
            </c:numRef>
          </c:val>
          <c:extLst>
            <c:ext xmlns:c16="http://schemas.microsoft.com/office/drawing/2014/chart" uri="{C3380CC4-5D6E-409C-BE32-E72D297353CC}">
              <c16:uniqueId val="{00000004-A00C-47CB-86B5-6A209CE71263}"/>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[FRM Part 2 Performance Tracker '24.xlsx]Working!PivotTable3</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Practice</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shade val="76000"/>
            </a:schemeClr>
          </a:solidFill>
          <a:ln w="19050">
            <a:solidFill>
              <a:schemeClr val="lt1"/>
            </a:solidFill>
          </a:ln>
          <a:effectLst/>
        </c:spPr>
      </c:pivotFmt>
      <c:pivotFmt>
        <c:idx val="2"/>
        <c:spPr>
          <a:solidFill>
            <a:schemeClr val="accent3">
              <a:shade val="76000"/>
            </a:schemeClr>
          </a:solidFill>
          <a:ln w="19050">
            <a:solidFill>
              <a:schemeClr val="lt1"/>
            </a:solidFill>
          </a:ln>
          <a:effectLst/>
        </c:spPr>
      </c:pivotFmt>
      <c:pivotFmt>
        <c:idx val="3"/>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3">
              <a:shade val="76000"/>
            </a:schemeClr>
          </a:solidFill>
          <a:ln w="19050">
            <a:solidFill>
              <a:schemeClr val="lt1"/>
            </a:solidFill>
          </a:ln>
          <a:effectLst/>
        </c:spPr>
      </c:pivotFmt>
      <c:pivotFmt>
        <c:idx val="5"/>
        <c:spPr>
          <a:solidFill>
            <a:schemeClr val="accent3"/>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2">
              <a:lumMod val="40000"/>
              <a:lumOff val="60000"/>
            </a:schemeClr>
          </a:solidFill>
          <a:ln w="19050">
            <a:solidFill>
              <a:schemeClr val="accent2">
                <a:lumMod val="75000"/>
              </a:schemeClr>
            </a:solidFill>
          </a:ln>
          <a:effectLst/>
        </c:spPr>
      </c:pivotFmt>
      <c:pivotFmt>
        <c:idx val="7"/>
        <c:spPr>
          <a:solidFill>
            <a:schemeClr val="accent2">
              <a:lumMod val="75000"/>
            </a:schemeClr>
          </a:solidFill>
          <a:ln w="19050">
            <a:solidFill>
              <a:schemeClr val="accent2">
                <a:lumMod val="75000"/>
              </a:schemeClr>
            </a:solidFill>
          </a:ln>
          <a:effectLst/>
        </c:spPr>
      </c:pivotFmt>
      <c:pivotFmt>
        <c:idx val="8"/>
        <c:spPr>
          <a:solidFill>
            <a:schemeClr val="accent3"/>
          </a:solidFill>
          <a:ln w="19050">
            <a:noFill/>
          </a:ln>
          <a:effectLst/>
        </c:spPr>
      </c:pivotFmt>
    </c:pivotFmts>
    <c:plotArea>
      <c:layout/>
      <c:doughnutChart>
        <c:varyColors val="1"/>
        <c:ser>
          <c:idx val="0"/>
          <c:order val="0"/>
          <c:tx>
            <c:strRef>
              <c:f>Working!$C$87</c:f>
              <c:strCache>
                <c:ptCount val="1"/>
                <c:pt idx="0">
                  <c:v>Total</c:v>
                </c:pt>
              </c:strCache>
            </c:strRef>
          </c:tx>
          <c:spPr>
            <a:ln>
              <a:noFill/>
            </a:ln>
          </c:spPr>
          <c:dPt>
            <c:idx val="0"/>
            <c:bubble3D val="0"/>
            <c:spPr>
              <a:solidFill>
                <a:schemeClr val="accent2">
                  <a:lumMod val="40000"/>
                  <a:lumOff val="60000"/>
                </a:schemeClr>
              </a:solidFill>
              <a:ln w="19050">
                <a:solidFill>
                  <a:schemeClr val="accent2">
                    <a:lumMod val="75000"/>
                  </a:schemeClr>
                </a:solidFill>
              </a:ln>
              <a:effectLst/>
            </c:spPr>
            <c:extLst>
              <c:ext xmlns:c16="http://schemas.microsoft.com/office/drawing/2014/chart" uri="{C3380CC4-5D6E-409C-BE32-E72D297353CC}">
                <c16:uniqueId val="{00000001-DCC4-4F83-805B-644ACD4A3ED3}"/>
              </c:ext>
            </c:extLst>
          </c:dPt>
          <c:dPt>
            <c:idx val="1"/>
            <c:bubble3D val="0"/>
            <c:spPr>
              <a:solidFill>
                <a:schemeClr val="accent3">
                  <a:tint val="30000"/>
                </a:schemeClr>
              </a:solidFill>
              <a:ln w="19050">
                <a:noFill/>
              </a:ln>
              <a:effectLst/>
            </c:spPr>
            <c:extLst>
              <c:ext xmlns:c16="http://schemas.microsoft.com/office/drawing/2014/chart" uri="{C3380CC4-5D6E-409C-BE32-E72D297353CC}">
                <c16:uniqueId val="{00000003-DCC4-4F83-805B-644ACD4A3ED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Working!$B$88:$B$89</c:f>
              <c:strCache>
                <c:ptCount val="1"/>
                <c:pt idx="0">
                  <c:v>U</c:v>
                </c:pt>
              </c:strCache>
            </c:strRef>
          </c:cat>
          <c:val>
            <c:numRef>
              <c:f>Working!$C$88:$C$89</c:f>
              <c:numCache>
                <c:formatCode>General</c:formatCode>
                <c:ptCount val="1"/>
                <c:pt idx="0">
                  <c:v>103</c:v>
                </c:pt>
              </c:numCache>
            </c:numRef>
          </c:val>
          <c:extLst>
            <c:ext xmlns:c16="http://schemas.microsoft.com/office/drawing/2014/chart" uri="{C3380CC4-5D6E-409C-BE32-E72D297353CC}">
              <c16:uniqueId val="{00000004-DCC4-4F83-805B-644ACD4A3ED3}"/>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7">
  <a:schemeClr val="accent4"/>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https://youtu.be/zzWlw3wJrg8" TargetMode="External"/><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wa.me/+919831779737" TargetMode="External"/><Relationship Id="rId4" Type="http://schemas.openxmlformats.org/officeDocument/2006/relationships/hyperlink" Target="https://classes.aswinibajaj.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chart" Target="../charts/chart11.xml"/><Relationship Id="rId3" Type="http://schemas.openxmlformats.org/officeDocument/2006/relationships/chart" Target="../charts/chart4.xml"/><Relationship Id="rId7" Type="http://schemas.openxmlformats.org/officeDocument/2006/relationships/image" Target="../media/image5.png"/><Relationship Id="rId12" Type="http://schemas.openxmlformats.org/officeDocument/2006/relationships/chart" Target="../charts/chart10.xml"/><Relationship Id="rId17" Type="http://schemas.openxmlformats.org/officeDocument/2006/relationships/image" Target="../media/image7.png"/><Relationship Id="rId2" Type="http://schemas.openxmlformats.org/officeDocument/2006/relationships/chart" Target="../charts/chart3.xml"/><Relationship Id="rId16" Type="http://schemas.openxmlformats.org/officeDocument/2006/relationships/chart" Target="../charts/chart14.xml"/><Relationship Id="rId1" Type="http://schemas.openxmlformats.org/officeDocument/2006/relationships/chart" Target="../charts/chart2.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5" Type="http://schemas.openxmlformats.org/officeDocument/2006/relationships/chart" Target="../charts/chart13.xml"/><Relationship Id="rId10" Type="http://schemas.openxmlformats.org/officeDocument/2006/relationships/chart" Target="../charts/chart8.xml"/><Relationship Id="rId4" Type="http://schemas.openxmlformats.org/officeDocument/2006/relationships/image" Target="../media/image4.png"/><Relationship Id="rId9" Type="http://schemas.openxmlformats.org/officeDocument/2006/relationships/chart" Target="../charts/chart7.xml"/><Relationship Id="rId1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260252</xdr:colOff>
      <xdr:row>6</xdr:row>
      <xdr:rowOff>16607</xdr:rowOff>
    </xdr:from>
    <xdr:to>
      <xdr:col>3</xdr:col>
      <xdr:colOff>2559050</xdr:colOff>
      <xdr:row>8</xdr:row>
      <xdr:rowOff>114660</xdr:rowOff>
    </xdr:to>
    <xdr:sp macro="" textlink="">
      <xdr:nvSpPr>
        <xdr:cNvPr id="5" name="Text Box 2">
          <a:extLst>
            <a:ext uri="{FF2B5EF4-FFF2-40B4-BE49-F238E27FC236}">
              <a16:creationId xmlns:a16="http://schemas.microsoft.com/office/drawing/2014/main" id="{180A4801-58B6-413D-87DE-2393E6A7D03F}"/>
            </a:ext>
          </a:extLst>
        </xdr:cNvPr>
        <xdr:cNvSpPr txBox="1">
          <a:spLocks noChangeArrowheads="1"/>
        </xdr:cNvSpPr>
      </xdr:nvSpPr>
      <xdr:spPr bwMode="auto">
        <a:xfrm>
          <a:off x="521723" y="1137195"/>
          <a:ext cx="4248621" cy="41181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600" b="1" i="0" u="none" strike="noStrike" baseline="0">
              <a:solidFill>
                <a:schemeClr val="tx1">
                  <a:lumMod val="75000"/>
                  <a:lumOff val="25000"/>
                </a:schemeClr>
              </a:solidFill>
              <a:latin typeface="Tw Cen MT" panose="020B0602020104020603" pitchFamily="34" charset="0"/>
              <a:cs typeface="Calibri"/>
            </a:rPr>
            <a:t>Aswini Bajaj</a:t>
          </a:r>
          <a:endParaRPr lang="en-IN" sz="1100" b="0" i="0" u="none" strike="noStrike" baseline="0">
            <a:solidFill>
              <a:schemeClr val="tx1">
                <a:lumMod val="75000"/>
                <a:lumOff val="25000"/>
              </a:schemeClr>
            </a:solidFill>
            <a:latin typeface="Tw Cen MT" panose="020B0602020104020603" pitchFamily="34" charset="0"/>
            <a:cs typeface="Calibri"/>
          </a:endParaRPr>
        </a:p>
        <a:p>
          <a:pPr algn="l" rtl="0">
            <a:defRPr sz="1000"/>
          </a:pPr>
          <a:r>
            <a:rPr lang="en-IN" sz="1050" b="0" i="1" u="none" strike="noStrike" baseline="0">
              <a:solidFill>
                <a:schemeClr val="tx1">
                  <a:lumMod val="50000"/>
                  <a:lumOff val="50000"/>
                </a:schemeClr>
              </a:solidFill>
              <a:latin typeface="Tw Cen MT" panose="020B0602020104020603" pitchFamily="34" charset="0"/>
              <a:cs typeface="Calibri"/>
            </a:rPr>
            <a:t>CA, CS, CFA, FRM, CAIA, CFP</a:t>
          </a:r>
          <a:r>
            <a:rPr lang="en-IN" sz="1050" b="0" i="1" u="none" strike="noStrike" baseline="0">
              <a:solidFill>
                <a:schemeClr val="tx1">
                  <a:lumMod val="50000"/>
                  <a:lumOff val="50000"/>
                </a:schemeClr>
              </a:solidFill>
              <a:latin typeface="Tw Cen MT" panose="020B0602020104020603" pitchFamily="34" charset="0"/>
              <a:ea typeface="+mn-ea"/>
              <a:cs typeface="Calibri"/>
            </a:rPr>
            <a:t>, RV, CIPM, CCRA, CIIB, CIRA, AIM</a:t>
          </a:r>
        </a:p>
      </xdr:txBody>
    </xdr:sp>
    <xdr:clientData/>
  </xdr:twoCellAnchor>
  <xdr:twoCellAnchor>
    <xdr:from>
      <xdr:col>1</xdr:col>
      <xdr:colOff>216835</xdr:colOff>
      <xdr:row>6</xdr:row>
      <xdr:rowOff>30698</xdr:rowOff>
    </xdr:from>
    <xdr:to>
      <xdr:col>3</xdr:col>
      <xdr:colOff>2593496</xdr:colOff>
      <xdr:row>6</xdr:row>
      <xdr:rowOff>30698</xdr:rowOff>
    </xdr:to>
    <xdr:cxnSp macro="">
      <xdr:nvCxnSpPr>
        <xdr:cNvPr id="6" name="Straight Connector 5">
          <a:extLst>
            <a:ext uri="{FF2B5EF4-FFF2-40B4-BE49-F238E27FC236}">
              <a16:creationId xmlns:a16="http://schemas.microsoft.com/office/drawing/2014/main" id="{E230F239-7DBE-4353-A6AB-56F279C7E459}"/>
            </a:ext>
          </a:extLst>
        </xdr:cNvPr>
        <xdr:cNvCxnSpPr/>
      </xdr:nvCxnSpPr>
      <xdr:spPr>
        <a:xfrm>
          <a:off x="478306" y="115128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248091</xdr:colOff>
      <xdr:row>10</xdr:row>
      <xdr:rowOff>22106</xdr:rowOff>
    </xdr:from>
    <xdr:to>
      <xdr:col>3</xdr:col>
      <xdr:colOff>2572377</xdr:colOff>
      <xdr:row>10</xdr:row>
      <xdr:rowOff>22106</xdr:rowOff>
    </xdr:to>
    <xdr:cxnSp macro="">
      <xdr:nvCxnSpPr>
        <xdr:cNvPr id="7" name="Straight Connector 6">
          <a:extLst>
            <a:ext uri="{FF2B5EF4-FFF2-40B4-BE49-F238E27FC236}">
              <a16:creationId xmlns:a16="http://schemas.microsoft.com/office/drawing/2014/main" id="{3E87C980-AC01-40C4-AA8A-E733E08C4F09}"/>
            </a:ext>
          </a:extLst>
        </xdr:cNvPr>
        <xdr:cNvCxnSpPr/>
      </xdr:nvCxnSpPr>
      <xdr:spPr>
        <a:xfrm>
          <a:off x="509562" y="1882282"/>
          <a:ext cx="427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216835</xdr:colOff>
      <xdr:row>6</xdr:row>
      <xdr:rowOff>14858</xdr:rowOff>
    </xdr:from>
    <xdr:to>
      <xdr:col>3</xdr:col>
      <xdr:colOff>2593496</xdr:colOff>
      <xdr:row>6</xdr:row>
      <xdr:rowOff>14858</xdr:rowOff>
    </xdr:to>
    <xdr:cxnSp macro="">
      <xdr:nvCxnSpPr>
        <xdr:cNvPr id="8" name="Straight Connector 7">
          <a:extLst>
            <a:ext uri="{FF2B5EF4-FFF2-40B4-BE49-F238E27FC236}">
              <a16:creationId xmlns:a16="http://schemas.microsoft.com/office/drawing/2014/main" id="{CC4C0E14-731C-4210-803E-3662535CEF94}"/>
            </a:ext>
          </a:extLst>
        </xdr:cNvPr>
        <xdr:cNvCxnSpPr/>
      </xdr:nvCxnSpPr>
      <xdr:spPr>
        <a:xfrm>
          <a:off x="478306" y="113544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116957</xdr:colOff>
      <xdr:row>2</xdr:row>
      <xdr:rowOff>95977</xdr:rowOff>
    </xdr:from>
    <xdr:to>
      <xdr:col>2</xdr:col>
      <xdr:colOff>168370</xdr:colOff>
      <xdr:row>6</xdr:row>
      <xdr:rowOff>32495</xdr:rowOff>
    </xdr:to>
    <xdr:pic>
      <xdr:nvPicPr>
        <xdr:cNvPr id="9" name="Picture 8">
          <a:extLst>
            <a:ext uri="{FF2B5EF4-FFF2-40B4-BE49-F238E27FC236}">
              <a16:creationId xmlns:a16="http://schemas.microsoft.com/office/drawing/2014/main" id="{04FAAB88-2E0F-441D-888C-45546FFA1F3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378428" y="559153"/>
          <a:ext cx="880648" cy="676107"/>
        </a:xfrm>
        <a:prstGeom prst="rect">
          <a:avLst/>
        </a:prstGeom>
      </xdr:spPr>
    </xdr:pic>
    <xdr:clientData/>
  </xdr:twoCellAnchor>
  <xdr:twoCellAnchor editAs="oneCell">
    <xdr:from>
      <xdr:col>1</xdr:col>
      <xdr:colOff>260128</xdr:colOff>
      <xdr:row>9</xdr:row>
      <xdr:rowOff>35260</xdr:rowOff>
    </xdr:from>
    <xdr:to>
      <xdr:col>1</xdr:col>
      <xdr:colOff>381804</xdr:colOff>
      <xdr:row>9</xdr:row>
      <xdr:rowOff>151889</xdr:rowOff>
    </xdr:to>
    <xdr:pic>
      <xdr:nvPicPr>
        <xdr:cNvPr id="10" name="Picture 9">
          <a:extLst>
            <a:ext uri="{FF2B5EF4-FFF2-40B4-BE49-F238E27FC236}">
              <a16:creationId xmlns:a16="http://schemas.microsoft.com/office/drawing/2014/main" id="{AE19794D-A437-1198-DA57-DEF80EA92B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1599" y="1716142"/>
          <a:ext cx="121676" cy="116629"/>
        </a:xfrm>
        <a:prstGeom prst="rect">
          <a:avLst/>
        </a:prstGeom>
      </xdr:spPr>
    </xdr:pic>
    <xdr:clientData/>
  </xdr:twoCellAnchor>
  <xdr:twoCellAnchor>
    <xdr:from>
      <xdr:col>1</xdr:col>
      <xdr:colOff>361456</xdr:colOff>
      <xdr:row>8</xdr:row>
      <xdr:rowOff>241859</xdr:rowOff>
    </xdr:from>
    <xdr:to>
      <xdr:col>3</xdr:col>
      <xdr:colOff>635000</xdr:colOff>
      <xdr:row>10</xdr:row>
      <xdr:rowOff>26314</xdr:rowOff>
    </xdr:to>
    <xdr:sp macro="" textlink="">
      <xdr:nvSpPr>
        <xdr:cNvPr id="11" name="Text Box 2">
          <a:hlinkClick xmlns:r="http://schemas.openxmlformats.org/officeDocument/2006/relationships" r:id="rId4"/>
          <a:extLst>
            <a:ext uri="{FF2B5EF4-FFF2-40B4-BE49-F238E27FC236}">
              <a16:creationId xmlns:a16="http://schemas.microsoft.com/office/drawing/2014/main" id="{8688C1D7-1BB3-89F9-F35C-18BCC000D1C8}"/>
            </a:ext>
          </a:extLst>
        </xdr:cNvPr>
        <xdr:cNvSpPr txBox="1">
          <a:spLocks noChangeArrowheads="1"/>
        </xdr:cNvSpPr>
      </xdr:nvSpPr>
      <xdr:spPr bwMode="auto">
        <a:xfrm>
          <a:off x="622927" y="1676212"/>
          <a:ext cx="2223367" cy="21027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000" b="0" i="0" u="none" strike="noStrike" baseline="0">
              <a:solidFill>
                <a:schemeClr val="tx1">
                  <a:lumMod val="75000"/>
                  <a:lumOff val="25000"/>
                </a:schemeClr>
              </a:solidFill>
              <a:latin typeface="Tw Cen MT" panose="020B0602020104020603" pitchFamily="34" charset="0"/>
              <a:cs typeface="Calibri"/>
            </a:rPr>
            <a:t>classes.aswinibajaj.com</a:t>
          </a:r>
        </a:p>
      </xdr:txBody>
    </xdr:sp>
    <xdr:clientData/>
  </xdr:twoCellAnchor>
  <xdr:twoCellAnchor>
    <xdr:from>
      <xdr:col>3</xdr:col>
      <xdr:colOff>1027017</xdr:colOff>
      <xdr:row>8</xdr:row>
      <xdr:rowOff>241860</xdr:rowOff>
    </xdr:from>
    <xdr:to>
      <xdr:col>3</xdr:col>
      <xdr:colOff>2501900</xdr:colOff>
      <xdr:row>9</xdr:row>
      <xdr:rowOff>167509</xdr:rowOff>
    </xdr:to>
    <xdr:sp macro="" textlink="">
      <xdr:nvSpPr>
        <xdr:cNvPr id="12" name="Text Box 2">
          <a:hlinkClick xmlns:r="http://schemas.openxmlformats.org/officeDocument/2006/relationships" r:id="rId5"/>
          <a:extLst>
            <a:ext uri="{FF2B5EF4-FFF2-40B4-BE49-F238E27FC236}">
              <a16:creationId xmlns:a16="http://schemas.microsoft.com/office/drawing/2014/main" id="{E529D2FC-31B7-7533-A323-CA308CF94B5F}"/>
            </a:ext>
          </a:extLst>
        </xdr:cNvPr>
        <xdr:cNvSpPr txBox="1">
          <a:spLocks noChangeArrowheads="1"/>
        </xdr:cNvSpPr>
      </xdr:nvSpPr>
      <xdr:spPr bwMode="auto">
        <a:xfrm>
          <a:off x="3238311" y="1676213"/>
          <a:ext cx="1474883" cy="172178"/>
        </a:xfrm>
        <a:prstGeom prst="rect">
          <a:avLst/>
        </a:prstGeom>
        <a:noFill/>
        <a:ln w="9525">
          <a:noFill/>
          <a:miter lim="800000"/>
          <a:headEnd/>
          <a:tailEnd/>
        </a:ln>
      </xdr:spPr>
      <xdr:txBody>
        <a:bodyPr vertOverflow="clip" wrap="square" lIns="36576" tIns="32004" rIns="0" bIns="0" anchor="t" upright="1"/>
        <a:lstStyle/>
        <a:p>
          <a:pPr marL="0" indent="0" algn="r" rtl="0">
            <a:defRPr sz="1000"/>
          </a:pPr>
          <a:r>
            <a:rPr lang="en-IN" sz="1000" b="0" i="0" u="none" strike="noStrike" baseline="0">
              <a:solidFill>
                <a:schemeClr val="tx1">
                  <a:lumMod val="75000"/>
                  <a:lumOff val="25000"/>
                </a:schemeClr>
              </a:solidFill>
              <a:latin typeface="Tw Cen MT" panose="020B0602020104020603" pitchFamily="34" charset="0"/>
              <a:ea typeface="+mn-ea"/>
              <a:cs typeface="Calibri"/>
            </a:rPr>
            <a:t>+91 98317 79737</a:t>
          </a:r>
        </a:p>
      </xdr:txBody>
    </xdr:sp>
    <xdr:clientData/>
  </xdr:twoCellAnchor>
  <xdr:twoCellAnchor editAs="oneCell">
    <xdr:from>
      <xdr:col>3</xdr:col>
      <xdr:colOff>1300520</xdr:colOff>
      <xdr:row>9</xdr:row>
      <xdr:rowOff>17208</xdr:rowOff>
    </xdr:from>
    <xdr:to>
      <xdr:col>3</xdr:col>
      <xdr:colOff>1465438</xdr:colOff>
      <xdr:row>10</xdr:row>
      <xdr:rowOff>5101</xdr:rowOff>
    </xdr:to>
    <xdr:pic>
      <xdr:nvPicPr>
        <xdr:cNvPr id="14" name="Picture 13">
          <a:extLst>
            <a:ext uri="{FF2B5EF4-FFF2-40B4-BE49-F238E27FC236}">
              <a16:creationId xmlns:a16="http://schemas.microsoft.com/office/drawing/2014/main" id="{02F9292E-109C-BF50-E66E-A5767D6462B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11814" y="1698090"/>
          <a:ext cx="164918" cy="167187"/>
        </a:xfrm>
        <a:prstGeom prst="rect">
          <a:avLst/>
        </a:prstGeom>
      </xdr:spPr>
    </xdr:pic>
    <xdr:clientData/>
  </xdr:twoCellAnchor>
  <xdr:twoCellAnchor>
    <xdr:from>
      <xdr:col>1</xdr:col>
      <xdr:colOff>11205</xdr:colOff>
      <xdr:row>13</xdr:row>
      <xdr:rowOff>68683</xdr:rowOff>
    </xdr:from>
    <xdr:to>
      <xdr:col>6</xdr:col>
      <xdr:colOff>11206</xdr:colOff>
      <xdr:row>17</xdr:row>
      <xdr:rowOff>146050</xdr:rowOff>
    </xdr:to>
    <xdr:sp macro="" textlink="">
      <xdr:nvSpPr>
        <xdr:cNvPr id="13" name="TextBox 12">
          <a:extLst>
            <a:ext uri="{FF2B5EF4-FFF2-40B4-BE49-F238E27FC236}">
              <a16:creationId xmlns:a16="http://schemas.microsoft.com/office/drawing/2014/main" id="{1966664F-675C-4A32-8D92-8F310B5D0AD9}"/>
            </a:ext>
          </a:extLst>
        </xdr:cNvPr>
        <xdr:cNvSpPr txBox="1"/>
      </xdr:nvSpPr>
      <xdr:spPr>
        <a:xfrm>
          <a:off x="271555" y="2526133"/>
          <a:ext cx="10566401" cy="1341017"/>
        </a:xfrm>
        <a:prstGeom prst="rect">
          <a:avLst/>
        </a:prstGeom>
        <a:solidFill>
          <a:srgbClr val="FFF3EB"/>
        </a:solid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IN" sz="1400" b="1" i="1">
              <a:solidFill>
                <a:schemeClr val="accent2"/>
              </a:solidFill>
              <a:effectLst/>
              <a:latin typeface="Tw Cen MT" panose="020B0602020104020603" pitchFamily="34" charset="0"/>
              <a:ea typeface="+mn-ea"/>
              <a:cs typeface="+mn-cs"/>
            </a:rPr>
            <a:t>The harder you Work, The Luckier you Get!</a:t>
          </a:r>
          <a:endParaRPr lang="en-IN" sz="1400">
            <a:solidFill>
              <a:schemeClr val="accent2"/>
            </a:solidFill>
            <a:effectLst/>
            <a:latin typeface="Tw Cen MT" panose="020B0602020104020603" pitchFamily="34" charset="0"/>
            <a:ea typeface="+mn-ea"/>
            <a:cs typeface="+mn-cs"/>
          </a:endParaRPr>
        </a:p>
        <a:p>
          <a:endParaRPr lang="en-IN" sz="400" b="0" i="1">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Please see the details of the column headings of the ‘Input Sheet’. Make sure you have covered the ‘How to Study and Practice’ Lecture. It is very important as it has all the details on how to study and what all to practice. It is important that you follow instructions and all the mentoring provided very attentively and not miss out on the instructions.</a:t>
          </a:r>
        </a:p>
        <a:p>
          <a:endParaRPr lang="en-IN" sz="400" b="0">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You may keep updating your progress in the ‘Input Sheet’ and view a summary and target based on that in the next sheets. Mock tests are conducted across the entire syllabus and hence not included in this performance tracker. It is conducted between 10-20 days before the exam and al details regarding the same shall be provided via WhatsApp.</a:t>
          </a:r>
        </a:p>
        <a:p>
          <a:endParaRPr lang="en-IN" sz="400" b="0">
            <a:solidFill>
              <a:schemeClr val="dk1"/>
            </a:solidFill>
            <a:effectLst/>
            <a:latin typeface="Tw Cen MT" panose="020B0602020104020603" pitchFamily="34" charset="0"/>
            <a:ea typeface="+mn-ea"/>
            <a:cs typeface="+mn-cs"/>
          </a:endParaRPr>
        </a:p>
        <a:p>
          <a:r>
            <a:rPr lang="en-IN" sz="1400" b="1" i="1">
              <a:solidFill>
                <a:schemeClr val="accent2"/>
              </a:solidFill>
              <a:effectLst/>
              <a:latin typeface="Tw Cen MT" panose="020B0602020104020603" pitchFamily="34" charset="0"/>
              <a:ea typeface="+mn-ea"/>
              <a:cs typeface="+mn-cs"/>
            </a:rPr>
            <a:t>-Aswini Bajaj</a:t>
          </a:r>
          <a:endParaRPr lang="en-IN" sz="1400">
            <a:solidFill>
              <a:schemeClr val="accent2"/>
            </a:solidFill>
            <a:effectLst/>
            <a:latin typeface="Tw Cen MT" panose="020B0602020104020603" pitchFamily="34" charset="0"/>
            <a:ea typeface="+mn-ea"/>
            <a:cs typeface="+mn-cs"/>
          </a:endParaRPr>
        </a:p>
      </xdr:txBody>
    </xdr:sp>
    <xdr:clientData/>
  </xdr:twoCellAnchor>
  <xdr:twoCellAnchor>
    <xdr:from>
      <xdr:col>3</xdr:col>
      <xdr:colOff>2965824</xdr:colOff>
      <xdr:row>9</xdr:row>
      <xdr:rowOff>58792</xdr:rowOff>
    </xdr:from>
    <xdr:to>
      <xdr:col>5</xdr:col>
      <xdr:colOff>2719293</xdr:colOff>
      <xdr:row>10</xdr:row>
      <xdr:rowOff>82178</xdr:rowOff>
    </xdr:to>
    <xdr:sp macro="" textlink="">
      <xdr:nvSpPr>
        <xdr:cNvPr id="2" name="TextBox 1">
          <a:hlinkClick xmlns:r="http://schemas.openxmlformats.org/officeDocument/2006/relationships" r:id="rId7"/>
          <a:extLst>
            <a:ext uri="{FF2B5EF4-FFF2-40B4-BE49-F238E27FC236}">
              <a16:creationId xmlns:a16="http://schemas.microsoft.com/office/drawing/2014/main" id="{34D58339-8798-7A0C-F5C6-32941A2FAF5E}"/>
            </a:ext>
          </a:extLst>
        </xdr:cNvPr>
        <xdr:cNvSpPr txBox="1"/>
      </xdr:nvSpPr>
      <xdr:spPr>
        <a:xfrm>
          <a:off x="5177118" y="1739674"/>
          <a:ext cx="5132293" cy="202680"/>
        </a:xfrm>
        <a:prstGeom prst="rect">
          <a:avLst/>
        </a:prstGeom>
        <a:solidFill>
          <a:schemeClr val="bg1">
            <a:lumMod val="95000"/>
          </a:schemeClr>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1200">
              <a:latin typeface="Tw Cen MT" panose="020B0602020104020603" pitchFamily="34" charset="0"/>
            </a:rPr>
            <a:t>Click</a:t>
          </a:r>
          <a:r>
            <a:rPr lang="en-IN" sz="1200" baseline="0">
              <a:latin typeface="Tw Cen MT" panose="020B0602020104020603" pitchFamily="34" charset="0"/>
            </a:rPr>
            <a:t> here to Learn how to use this tracker</a:t>
          </a:r>
          <a:endParaRPr lang="en-IN" sz="1200">
            <a:latin typeface="Tw Cen MT" panose="020B06020201040206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90715</xdr:colOff>
      <xdr:row>6</xdr:row>
      <xdr:rowOff>36286</xdr:rowOff>
    </xdr:from>
    <xdr:to>
      <xdr:col>13</xdr:col>
      <xdr:colOff>444500</xdr:colOff>
      <xdr:row>28</xdr:row>
      <xdr:rowOff>123266</xdr:rowOff>
    </xdr:to>
    <xdr:graphicFrame macro="">
      <xdr:nvGraphicFramePr>
        <xdr:cNvPr id="2" name="Chart 1">
          <a:extLst>
            <a:ext uri="{FF2B5EF4-FFF2-40B4-BE49-F238E27FC236}">
              <a16:creationId xmlns:a16="http://schemas.microsoft.com/office/drawing/2014/main" id="{A4C7B6D6-7661-4CC7-A5B2-D5F9AE8F1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628650</xdr:colOff>
      <xdr:row>5</xdr:row>
      <xdr:rowOff>186760</xdr:rowOff>
    </xdr:from>
    <xdr:to>
      <xdr:col>18</xdr:col>
      <xdr:colOff>44450</xdr:colOff>
      <xdr:row>13</xdr:row>
      <xdr:rowOff>97113</xdr:rowOff>
    </xdr:to>
    <xdr:graphicFrame macro="">
      <xdr:nvGraphicFramePr>
        <xdr:cNvPr id="33" name="Chart 32">
          <a:extLst>
            <a:ext uri="{FF2B5EF4-FFF2-40B4-BE49-F238E27FC236}">
              <a16:creationId xmlns:a16="http://schemas.microsoft.com/office/drawing/2014/main" id="{826D63A1-DEFD-4BF1-A618-DFD3377D3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205</xdr:row>
      <xdr:rowOff>90767</xdr:rowOff>
    </xdr:from>
    <xdr:to>
      <xdr:col>15</xdr:col>
      <xdr:colOff>0</xdr:colOff>
      <xdr:row>212</xdr:row>
      <xdr:rowOff>245408</xdr:rowOff>
    </xdr:to>
    <xdr:graphicFrame macro="">
      <xdr:nvGraphicFramePr>
        <xdr:cNvPr id="5" name="Chart 4">
          <a:extLst>
            <a:ext uri="{FF2B5EF4-FFF2-40B4-BE49-F238E27FC236}">
              <a16:creationId xmlns:a16="http://schemas.microsoft.com/office/drawing/2014/main" id="{8CC435D2-5CB2-4865-821A-57A48A15F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25</xdr:col>
      <xdr:colOff>165099</xdr:colOff>
      <xdr:row>6</xdr:row>
      <xdr:rowOff>38100</xdr:rowOff>
    </xdr:to>
    <xdr:graphicFrame macro="">
      <xdr:nvGraphicFramePr>
        <xdr:cNvPr id="6" name="Chart 5">
          <a:extLst>
            <a:ext uri="{FF2B5EF4-FFF2-40B4-BE49-F238E27FC236}">
              <a16:creationId xmlns:a16="http://schemas.microsoft.com/office/drawing/2014/main" id="{9BBC9EDB-CBF1-47A1-9D88-4B97E027C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8</xdr:col>
      <xdr:colOff>100769</xdr:colOff>
      <xdr:row>4</xdr:row>
      <xdr:rowOff>53838</xdr:rowOff>
    </xdr:from>
    <xdr:ext cx="536712" cy="536712"/>
    <xdr:pic>
      <xdr:nvPicPr>
        <xdr:cNvPr id="7" name="Picture 6">
          <a:extLst>
            <a:ext uri="{FF2B5EF4-FFF2-40B4-BE49-F238E27FC236}">
              <a16:creationId xmlns:a16="http://schemas.microsoft.com/office/drawing/2014/main" id="{117C68D0-D930-4169-BA0C-EEAC51EC3587}"/>
            </a:ext>
          </a:extLst>
        </xdr:cNvPr>
        <xdr:cNvPicPr>
          <a:picLocks noChangeAspect="1"/>
        </xdr:cNvPicPr>
      </xdr:nvPicPr>
      <xdr:blipFill>
        <a:blip xmlns:r="http://schemas.openxmlformats.org/officeDocument/2006/relationships" r:embed="rId4" cstate="print">
          <a:alphaModFix/>
          <a:extLst>
            <a:ext uri="{28A0092B-C50C-407E-A947-70E740481C1C}">
              <a14:useLocalDpi xmlns:a14="http://schemas.microsoft.com/office/drawing/2010/main" val="0"/>
            </a:ext>
          </a:extLst>
        </a:blip>
        <a:stretch>
          <a:fillRect/>
        </a:stretch>
      </xdr:blipFill>
      <xdr:spPr>
        <a:xfrm>
          <a:off x="3034469" y="599938"/>
          <a:ext cx="536712" cy="536712"/>
        </a:xfrm>
        <a:prstGeom prst="rect">
          <a:avLst/>
        </a:prstGeom>
      </xdr:spPr>
    </xdr:pic>
    <xdr:clientData/>
  </xdr:oneCellAnchor>
  <xdr:twoCellAnchor editAs="oneCell">
    <xdr:from>
      <xdr:col>1</xdr:col>
      <xdr:colOff>0</xdr:colOff>
      <xdr:row>35</xdr:row>
      <xdr:rowOff>23663</xdr:rowOff>
    </xdr:from>
    <xdr:to>
      <xdr:col>5</xdr:col>
      <xdr:colOff>19050</xdr:colOff>
      <xdr:row>46</xdr:row>
      <xdr:rowOff>157131</xdr:rowOff>
    </xdr:to>
    <mc:AlternateContent xmlns:mc="http://schemas.openxmlformats.org/markup-compatibility/2006" xmlns:a14="http://schemas.microsoft.com/office/drawing/2010/main">
      <mc:Choice Requires="a14">
        <xdr:graphicFrame macro="">
          <xdr:nvGraphicFramePr>
            <xdr:cNvPr id="14" name="Subject 2">
              <a:extLst>
                <a:ext uri="{FF2B5EF4-FFF2-40B4-BE49-F238E27FC236}">
                  <a16:creationId xmlns:a16="http://schemas.microsoft.com/office/drawing/2014/main" id="{45C3588F-3530-4A47-BE97-705893B1B2C8}"/>
                </a:ext>
              </a:extLst>
            </xdr:cNvPr>
            <xdr:cNvGraphicFramePr/>
          </xdr:nvGraphicFramePr>
          <xdr:xfrm>
            <a:off x="0" y="0"/>
            <a:ext cx="0" cy="0"/>
          </xdr:xfrm>
          <a:graphic>
            <a:graphicData uri="http://schemas.microsoft.com/office/drawing/2010/slicer">
              <sle:slicer xmlns:sle="http://schemas.microsoft.com/office/drawing/2010/slicer" name="Subject 2"/>
            </a:graphicData>
          </a:graphic>
        </xdr:graphicFrame>
      </mc:Choice>
      <mc:Fallback xmlns="">
        <xdr:sp macro="" textlink="">
          <xdr:nvSpPr>
            <xdr:cNvPr id="0" name=""/>
            <xdr:cNvSpPr>
              <a:spLocks noTextEdit="1"/>
            </xdr:cNvSpPr>
          </xdr:nvSpPr>
          <xdr:spPr>
            <a:xfrm>
              <a:off x="0" y="6594826"/>
              <a:ext cx="1683373" cy="205595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163634</xdr:colOff>
      <xdr:row>12</xdr:row>
      <xdr:rowOff>125878</xdr:rowOff>
    </xdr:from>
    <xdr:to>
      <xdr:col>9</xdr:col>
      <xdr:colOff>186419</xdr:colOff>
      <xdr:row>25</xdr:row>
      <xdr:rowOff>17929</xdr:rowOff>
    </xdr:to>
    <xdr:graphicFrame macro="">
      <xdr:nvGraphicFramePr>
        <xdr:cNvPr id="15" name="Chart 14">
          <a:extLst>
            <a:ext uri="{FF2B5EF4-FFF2-40B4-BE49-F238E27FC236}">
              <a16:creationId xmlns:a16="http://schemas.microsoft.com/office/drawing/2014/main" id="{501CC012-AEE9-4721-9492-FACAD1F04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69439</xdr:colOff>
      <xdr:row>12</xdr:row>
      <xdr:rowOff>133836</xdr:rowOff>
    </xdr:from>
    <xdr:to>
      <xdr:col>13</xdr:col>
      <xdr:colOff>254589</xdr:colOff>
      <xdr:row>25</xdr:row>
      <xdr:rowOff>123825</xdr:rowOff>
    </xdr:to>
    <xdr:graphicFrame macro="">
      <xdr:nvGraphicFramePr>
        <xdr:cNvPr id="17" name="Chart 16">
          <a:extLst>
            <a:ext uri="{FF2B5EF4-FFF2-40B4-BE49-F238E27FC236}">
              <a16:creationId xmlns:a16="http://schemas.microsoft.com/office/drawing/2014/main" id="{416DEAD4-9EB7-1924-E6EB-3C6DA34C0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149226</xdr:colOff>
      <xdr:row>18</xdr:row>
      <xdr:rowOff>149224</xdr:rowOff>
    </xdr:from>
    <xdr:to>
      <xdr:col>18</xdr:col>
      <xdr:colOff>76351</xdr:colOff>
      <xdr:row>20</xdr:row>
      <xdr:rowOff>92224</xdr:rowOff>
    </xdr:to>
    <xdr:pic>
      <xdr:nvPicPr>
        <xdr:cNvPr id="12" name="Picture 11">
          <a:extLst>
            <a:ext uri="{FF2B5EF4-FFF2-40B4-BE49-F238E27FC236}">
              <a16:creationId xmlns:a16="http://schemas.microsoft.com/office/drawing/2014/main" id="{424AEE1C-E5C2-1B25-B2DF-57C2A57FB25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87050" y="3600636"/>
          <a:ext cx="338007" cy="331470"/>
        </a:xfrm>
        <a:prstGeom prst="rect">
          <a:avLst/>
        </a:prstGeom>
      </xdr:spPr>
    </xdr:pic>
    <xdr:clientData/>
  </xdr:twoCellAnchor>
  <xdr:twoCellAnchor editAs="oneCell">
    <xdr:from>
      <xdr:col>13</xdr:col>
      <xdr:colOff>42211</xdr:colOff>
      <xdr:row>18</xdr:row>
      <xdr:rowOff>165100</xdr:rowOff>
    </xdr:from>
    <xdr:to>
      <xdr:col>14</xdr:col>
      <xdr:colOff>713</xdr:colOff>
      <xdr:row>20</xdr:row>
      <xdr:rowOff>108100</xdr:rowOff>
    </xdr:to>
    <xdr:pic>
      <xdr:nvPicPr>
        <xdr:cNvPr id="16" name="Picture 15">
          <a:extLst>
            <a:ext uri="{FF2B5EF4-FFF2-40B4-BE49-F238E27FC236}">
              <a16:creationId xmlns:a16="http://schemas.microsoft.com/office/drawing/2014/main" id="{1C531CE3-E6F7-5286-E3D6-3F11625E22F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600329" y="3616512"/>
          <a:ext cx="360232" cy="331470"/>
        </a:xfrm>
        <a:prstGeom prst="rect">
          <a:avLst/>
        </a:prstGeom>
      </xdr:spPr>
    </xdr:pic>
    <xdr:clientData/>
  </xdr:twoCellAnchor>
  <xdr:twoCellAnchor>
    <xdr:from>
      <xdr:col>4</xdr:col>
      <xdr:colOff>306570</xdr:colOff>
      <xdr:row>34</xdr:row>
      <xdr:rowOff>86277</xdr:rowOff>
    </xdr:from>
    <xdr:to>
      <xdr:col>8</xdr:col>
      <xdr:colOff>713455</xdr:colOff>
      <xdr:row>47</xdr:row>
      <xdr:rowOff>31744</xdr:rowOff>
    </xdr:to>
    <xdr:graphicFrame macro="">
      <xdr:nvGraphicFramePr>
        <xdr:cNvPr id="20" name="Chart 19">
          <a:extLst>
            <a:ext uri="{FF2B5EF4-FFF2-40B4-BE49-F238E27FC236}">
              <a16:creationId xmlns:a16="http://schemas.microsoft.com/office/drawing/2014/main" id="{04C9773B-7341-4695-89CD-7693835C09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54451</xdr:colOff>
      <xdr:row>34</xdr:row>
      <xdr:rowOff>79927</xdr:rowOff>
    </xdr:from>
    <xdr:to>
      <xdr:col>12</xdr:col>
      <xdr:colOff>296235</xdr:colOff>
      <xdr:row>47</xdr:row>
      <xdr:rowOff>31744</xdr:rowOff>
    </xdr:to>
    <xdr:graphicFrame macro="">
      <xdr:nvGraphicFramePr>
        <xdr:cNvPr id="21" name="Chart 20">
          <a:extLst>
            <a:ext uri="{FF2B5EF4-FFF2-40B4-BE49-F238E27FC236}">
              <a16:creationId xmlns:a16="http://schemas.microsoft.com/office/drawing/2014/main" id="{7E4AE8E4-1ADA-4B8F-BE5A-474DF8656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492986</xdr:colOff>
      <xdr:row>34</xdr:row>
      <xdr:rowOff>86277</xdr:rowOff>
    </xdr:from>
    <xdr:to>
      <xdr:col>15</xdr:col>
      <xdr:colOff>1246</xdr:colOff>
      <xdr:row>47</xdr:row>
      <xdr:rowOff>31744</xdr:rowOff>
    </xdr:to>
    <xdr:graphicFrame macro="">
      <xdr:nvGraphicFramePr>
        <xdr:cNvPr id="22" name="Chart 21">
          <a:extLst>
            <a:ext uri="{FF2B5EF4-FFF2-40B4-BE49-F238E27FC236}">
              <a16:creationId xmlns:a16="http://schemas.microsoft.com/office/drawing/2014/main" id="{67F2CA05-E092-4A38-B56B-576DE6DB4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96683</xdr:colOff>
      <xdr:row>34</xdr:row>
      <xdr:rowOff>86277</xdr:rowOff>
    </xdr:from>
    <xdr:to>
      <xdr:col>18</xdr:col>
      <xdr:colOff>540287</xdr:colOff>
      <xdr:row>47</xdr:row>
      <xdr:rowOff>31744</xdr:rowOff>
    </xdr:to>
    <xdr:graphicFrame macro="">
      <xdr:nvGraphicFramePr>
        <xdr:cNvPr id="23" name="Chart 22">
          <a:extLst>
            <a:ext uri="{FF2B5EF4-FFF2-40B4-BE49-F238E27FC236}">
              <a16:creationId xmlns:a16="http://schemas.microsoft.com/office/drawing/2014/main" id="{165B5498-2D1D-41A1-A3A7-11C231330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300268</xdr:colOff>
      <xdr:row>34</xdr:row>
      <xdr:rowOff>86277</xdr:rowOff>
    </xdr:from>
    <xdr:to>
      <xdr:col>22</xdr:col>
      <xdr:colOff>196849</xdr:colOff>
      <xdr:row>47</xdr:row>
      <xdr:rowOff>31744</xdr:rowOff>
    </xdr:to>
    <xdr:graphicFrame macro="">
      <xdr:nvGraphicFramePr>
        <xdr:cNvPr id="24" name="Chart 23">
          <a:extLst>
            <a:ext uri="{FF2B5EF4-FFF2-40B4-BE49-F238E27FC236}">
              <a16:creationId xmlns:a16="http://schemas.microsoft.com/office/drawing/2014/main" id="{5D1CECD3-417F-4459-97DB-8157941AF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134846</xdr:colOff>
      <xdr:row>28</xdr:row>
      <xdr:rowOff>272910</xdr:rowOff>
    </xdr:from>
    <xdr:to>
      <xdr:col>6</xdr:col>
      <xdr:colOff>602846</xdr:colOff>
      <xdr:row>28</xdr:row>
      <xdr:rowOff>272910</xdr:rowOff>
    </xdr:to>
    <xdr:cxnSp macro="">
      <xdr:nvCxnSpPr>
        <xdr:cNvPr id="3" name="Straight Connector 2">
          <a:extLst>
            <a:ext uri="{FF2B5EF4-FFF2-40B4-BE49-F238E27FC236}">
              <a16:creationId xmlns:a16="http://schemas.microsoft.com/office/drawing/2014/main" id="{2ECE3706-FC85-ED01-E0D3-2FA1C974449B}"/>
            </a:ext>
          </a:extLst>
        </xdr:cNvPr>
        <xdr:cNvCxnSpPr/>
      </xdr:nvCxnSpPr>
      <xdr:spPr>
        <a:xfrm>
          <a:off x="21477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197697</xdr:colOff>
      <xdr:row>29</xdr:row>
      <xdr:rowOff>18910</xdr:rowOff>
    </xdr:from>
    <xdr:to>
      <xdr:col>4</xdr:col>
      <xdr:colOff>641596</xdr:colOff>
      <xdr:row>29</xdr:row>
      <xdr:rowOff>18910</xdr:rowOff>
    </xdr:to>
    <xdr:cxnSp macro="">
      <xdr:nvCxnSpPr>
        <xdr:cNvPr id="25" name="Straight Connector 24">
          <a:extLst>
            <a:ext uri="{FF2B5EF4-FFF2-40B4-BE49-F238E27FC236}">
              <a16:creationId xmlns:a16="http://schemas.microsoft.com/office/drawing/2014/main" id="{6613A3A1-1CB5-C555-EFA8-A14D009C1950}"/>
            </a:ext>
          </a:extLst>
        </xdr:cNvPr>
        <xdr:cNvCxnSpPr/>
      </xdr:nvCxnSpPr>
      <xdr:spPr>
        <a:xfrm>
          <a:off x="794597" y="3822560"/>
          <a:ext cx="68519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134846</xdr:colOff>
      <xdr:row>28</xdr:row>
      <xdr:rowOff>272910</xdr:rowOff>
    </xdr:from>
    <xdr:to>
      <xdr:col>8</xdr:col>
      <xdr:colOff>602846</xdr:colOff>
      <xdr:row>28</xdr:row>
      <xdr:rowOff>272910</xdr:rowOff>
    </xdr:to>
    <xdr:cxnSp macro="">
      <xdr:nvCxnSpPr>
        <xdr:cNvPr id="26" name="Straight Connector 25">
          <a:extLst>
            <a:ext uri="{FF2B5EF4-FFF2-40B4-BE49-F238E27FC236}">
              <a16:creationId xmlns:a16="http://schemas.microsoft.com/office/drawing/2014/main" id="{4B2BEB1D-8643-CCBC-E3A1-AB58095DCEF0}"/>
            </a:ext>
          </a:extLst>
        </xdr:cNvPr>
        <xdr:cNvCxnSpPr/>
      </xdr:nvCxnSpPr>
      <xdr:spPr>
        <a:xfrm>
          <a:off x="29796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133259</xdr:colOff>
      <xdr:row>29</xdr:row>
      <xdr:rowOff>3035</xdr:rowOff>
    </xdr:from>
    <xdr:to>
      <xdr:col>10</xdr:col>
      <xdr:colOff>601259</xdr:colOff>
      <xdr:row>29</xdr:row>
      <xdr:rowOff>3035</xdr:rowOff>
    </xdr:to>
    <xdr:cxnSp macro="">
      <xdr:nvCxnSpPr>
        <xdr:cNvPr id="27" name="Straight Connector 26">
          <a:extLst>
            <a:ext uri="{FF2B5EF4-FFF2-40B4-BE49-F238E27FC236}">
              <a16:creationId xmlns:a16="http://schemas.microsoft.com/office/drawing/2014/main" id="{0AE4F931-69C2-2BF5-C3D8-DBA83C1A600A}"/>
            </a:ext>
          </a:extLst>
        </xdr:cNvPr>
        <xdr:cNvCxnSpPr/>
      </xdr:nvCxnSpPr>
      <xdr:spPr>
        <a:xfrm>
          <a:off x="4125822" y="5210035"/>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160246</xdr:colOff>
      <xdr:row>28</xdr:row>
      <xdr:rowOff>272910</xdr:rowOff>
    </xdr:from>
    <xdr:to>
      <xdr:col>12</xdr:col>
      <xdr:colOff>628246</xdr:colOff>
      <xdr:row>28</xdr:row>
      <xdr:rowOff>272910</xdr:rowOff>
    </xdr:to>
    <xdr:cxnSp macro="">
      <xdr:nvCxnSpPr>
        <xdr:cNvPr id="28" name="Straight Connector 27">
          <a:extLst>
            <a:ext uri="{FF2B5EF4-FFF2-40B4-BE49-F238E27FC236}">
              <a16:creationId xmlns:a16="http://schemas.microsoft.com/office/drawing/2014/main" id="{27595A84-AD5E-DB0C-ABAF-D14DFDDBD4DC}"/>
            </a:ext>
          </a:extLst>
        </xdr:cNvPr>
        <xdr:cNvCxnSpPr/>
      </xdr:nvCxnSpPr>
      <xdr:spPr>
        <a:xfrm>
          <a:off x="4979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128496</xdr:colOff>
      <xdr:row>28</xdr:row>
      <xdr:rowOff>272910</xdr:rowOff>
    </xdr:from>
    <xdr:to>
      <xdr:col>14</xdr:col>
      <xdr:colOff>596496</xdr:colOff>
      <xdr:row>28</xdr:row>
      <xdr:rowOff>272910</xdr:rowOff>
    </xdr:to>
    <xdr:cxnSp macro="">
      <xdr:nvCxnSpPr>
        <xdr:cNvPr id="29" name="Straight Connector 28">
          <a:extLst>
            <a:ext uri="{FF2B5EF4-FFF2-40B4-BE49-F238E27FC236}">
              <a16:creationId xmlns:a16="http://schemas.microsoft.com/office/drawing/2014/main" id="{70F938C4-DB41-E52F-4550-A69DA625D363}"/>
            </a:ext>
          </a:extLst>
        </xdr:cNvPr>
        <xdr:cNvCxnSpPr/>
      </xdr:nvCxnSpPr>
      <xdr:spPr>
        <a:xfrm>
          <a:off x="60911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128496</xdr:colOff>
      <xdr:row>28</xdr:row>
      <xdr:rowOff>272910</xdr:rowOff>
    </xdr:from>
    <xdr:to>
      <xdr:col>16</xdr:col>
      <xdr:colOff>596496</xdr:colOff>
      <xdr:row>28</xdr:row>
      <xdr:rowOff>272910</xdr:rowOff>
    </xdr:to>
    <xdr:cxnSp macro="">
      <xdr:nvCxnSpPr>
        <xdr:cNvPr id="30" name="Straight Connector 29">
          <a:extLst>
            <a:ext uri="{FF2B5EF4-FFF2-40B4-BE49-F238E27FC236}">
              <a16:creationId xmlns:a16="http://schemas.microsoft.com/office/drawing/2014/main" id="{8EA0D70A-980C-A7AB-0C50-0583BEAF0F1F}"/>
            </a:ext>
          </a:extLst>
        </xdr:cNvPr>
        <xdr:cNvCxnSpPr/>
      </xdr:nvCxnSpPr>
      <xdr:spPr>
        <a:xfrm>
          <a:off x="69229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153896</xdr:colOff>
      <xdr:row>28</xdr:row>
      <xdr:rowOff>272910</xdr:rowOff>
    </xdr:from>
    <xdr:to>
      <xdr:col>18</xdr:col>
      <xdr:colOff>621896</xdr:colOff>
      <xdr:row>28</xdr:row>
      <xdr:rowOff>272910</xdr:rowOff>
    </xdr:to>
    <xdr:cxnSp macro="">
      <xdr:nvCxnSpPr>
        <xdr:cNvPr id="31" name="Straight Connector 30">
          <a:extLst>
            <a:ext uri="{FF2B5EF4-FFF2-40B4-BE49-F238E27FC236}">
              <a16:creationId xmlns:a16="http://schemas.microsoft.com/office/drawing/2014/main" id="{10B73018-F284-6949-BAE7-92F3CEA6E887}"/>
            </a:ext>
          </a:extLst>
        </xdr:cNvPr>
        <xdr:cNvCxnSpPr/>
      </xdr:nvCxnSpPr>
      <xdr:spPr>
        <a:xfrm>
          <a:off x="80913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147546</xdr:colOff>
      <xdr:row>28</xdr:row>
      <xdr:rowOff>272910</xdr:rowOff>
    </xdr:from>
    <xdr:to>
      <xdr:col>20</xdr:col>
      <xdr:colOff>615546</xdr:colOff>
      <xdr:row>28</xdr:row>
      <xdr:rowOff>272910</xdr:rowOff>
    </xdr:to>
    <xdr:cxnSp macro="">
      <xdr:nvCxnSpPr>
        <xdr:cNvPr id="32" name="Straight Connector 31">
          <a:extLst>
            <a:ext uri="{FF2B5EF4-FFF2-40B4-BE49-F238E27FC236}">
              <a16:creationId xmlns:a16="http://schemas.microsoft.com/office/drawing/2014/main" id="{00EF2C31-CE9C-E353-79AA-9AA4B6BC3B2F}"/>
            </a:ext>
          </a:extLst>
        </xdr:cNvPr>
        <xdr:cNvCxnSpPr/>
      </xdr:nvCxnSpPr>
      <xdr:spPr>
        <a:xfrm>
          <a:off x="8916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160246</xdr:colOff>
      <xdr:row>28</xdr:row>
      <xdr:rowOff>272910</xdr:rowOff>
    </xdr:from>
    <xdr:to>
      <xdr:col>16</xdr:col>
      <xdr:colOff>628246</xdr:colOff>
      <xdr:row>28</xdr:row>
      <xdr:rowOff>272910</xdr:rowOff>
    </xdr:to>
    <xdr:cxnSp macro="">
      <xdr:nvCxnSpPr>
        <xdr:cNvPr id="34" name="Straight Connector 33">
          <a:extLst>
            <a:ext uri="{FF2B5EF4-FFF2-40B4-BE49-F238E27FC236}">
              <a16:creationId xmlns:a16="http://schemas.microsoft.com/office/drawing/2014/main" id="{708DBEF0-9529-476F-B7D6-ED7EC3179DB7}"/>
            </a:ext>
          </a:extLst>
        </xdr:cNvPr>
        <xdr:cNvCxnSpPr/>
      </xdr:nvCxnSpPr>
      <xdr:spPr>
        <a:xfrm>
          <a:off x="4979896" y="521321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123647</xdr:colOff>
      <xdr:row>12</xdr:row>
      <xdr:rowOff>125878</xdr:rowOff>
    </xdr:from>
    <xdr:to>
      <xdr:col>13</xdr:col>
      <xdr:colOff>149794</xdr:colOff>
      <xdr:row>25</xdr:row>
      <xdr:rowOff>17929</xdr:rowOff>
    </xdr:to>
    <xdr:graphicFrame macro="">
      <xdr:nvGraphicFramePr>
        <xdr:cNvPr id="35" name="Chart 34">
          <a:extLst>
            <a:ext uri="{FF2B5EF4-FFF2-40B4-BE49-F238E27FC236}">
              <a16:creationId xmlns:a16="http://schemas.microsoft.com/office/drawing/2014/main" id="{B1688BDE-4991-4E89-AEFE-2D5F3D3C6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271573</xdr:colOff>
      <xdr:row>12</xdr:row>
      <xdr:rowOff>125878</xdr:rowOff>
    </xdr:from>
    <xdr:to>
      <xdr:col>17</xdr:col>
      <xdr:colOff>297720</xdr:colOff>
      <xdr:row>25</xdr:row>
      <xdr:rowOff>17929</xdr:rowOff>
    </xdr:to>
    <xdr:graphicFrame macro="">
      <xdr:nvGraphicFramePr>
        <xdr:cNvPr id="36" name="Chart 35">
          <a:extLst>
            <a:ext uri="{FF2B5EF4-FFF2-40B4-BE49-F238E27FC236}">
              <a16:creationId xmlns:a16="http://schemas.microsoft.com/office/drawing/2014/main" id="{0BA73D60-B4FD-450E-8749-B82B7AD6F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18</xdr:col>
      <xdr:colOff>60140</xdr:colOff>
      <xdr:row>12</xdr:row>
      <xdr:rowOff>125878</xdr:rowOff>
    </xdr:from>
    <xdr:to>
      <xdr:col>22</xdr:col>
      <xdr:colOff>86286</xdr:colOff>
      <xdr:row>25</xdr:row>
      <xdr:rowOff>17929</xdr:rowOff>
    </xdr:to>
    <xdr:graphicFrame macro="">
      <xdr:nvGraphicFramePr>
        <xdr:cNvPr id="37" name="Chart 36">
          <a:extLst>
            <a:ext uri="{FF2B5EF4-FFF2-40B4-BE49-F238E27FC236}">
              <a16:creationId xmlns:a16="http://schemas.microsoft.com/office/drawing/2014/main" id="{1D92C9FD-289B-475A-A455-79B06F4E6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21</xdr:col>
      <xdr:colOff>182657</xdr:colOff>
      <xdr:row>5</xdr:row>
      <xdr:rowOff>21279</xdr:rowOff>
    </xdr:from>
    <xdr:to>
      <xdr:col>22</xdr:col>
      <xdr:colOff>343648</xdr:colOff>
      <xdr:row>7</xdr:row>
      <xdr:rowOff>118396</xdr:rowOff>
    </xdr:to>
    <xdr:pic>
      <xdr:nvPicPr>
        <xdr:cNvPr id="38" name="Picture 37">
          <a:extLst>
            <a:ext uri="{FF2B5EF4-FFF2-40B4-BE49-F238E27FC236}">
              <a16:creationId xmlns:a16="http://schemas.microsoft.com/office/drawing/2014/main" id="{AE96C87C-7A85-8D4F-BB1F-1821FD84943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9225804" y="727250"/>
          <a:ext cx="553197" cy="578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141947</xdr:colOff>
      <xdr:row>39</xdr:row>
      <xdr:rowOff>67231</xdr:rowOff>
    </xdr:from>
    <xdr:to>
      <xdr:col>8</xdr:col>
      <xdr:colOff>476416</xdr:colOff>
      <xdr:row>52</xdr:row>
      <xdr:rowOff>175816</xdr:rowOff>
    </xdr:to>
    <xdr:graphicFrame macro="">
      <xdr:nvGraphicFramePr>
        <xdr:cNvPr id="2" name="Chart 1">
          <a:extLst>
            <a:ext uri="{FF2B5EF4-FFF2-40B4-BE49-F238E27FC236}">
              <a16:creationId xmlns:a16="http://schemas.microsoft.com/office/drawing/2014/main" id="{466DB073-4310-4D32-81BE-37099CB49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667876</xdr:colOff>
      <xdr:row>45</xdr:row>
      <xdr:rowOff>174808</xdr:rowOff>
    </xdr:from>
    <xdr:to>
      <xdr:col>10</xdr:col>
      <xdr:colOff>412169</xdr:colOff>
      <xdr:row>59</xdr:row>
      <xdr:rowOff>178804</xdr:rowOff>
    </xdr:to>
    <xdr:graphicFrame macro="">
      <xdr:nvGraphicFramePr>
        <xdr:cNvPr id="3" name="Chart 2">
          <a:extLst>
            <a:ext uri="{FF2B5EF4-FFF2-40B4-BE49-F238E27FC236}">
              <a16:creationId xmlns:a16="http://schemas.microsoft.com/office/drawing/2014/main" id="{2FC18313-20C9-DEB6-E93C-B36B88DF4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297335</xdr:colOff>
      <xdr:row>54</xdr:row>
      <xdr:rowOff>43328</xdr:rowOff>
    </xdr:from>
    <xdr:to>
      <xdr:col>8</xdr:col>
      <xdr:colOff>19216</xdr:colOff>
      <xdr:row>67</xdr:row>
      <xdr:rowOff>104588</xdr:rowOff>
    </xdr:to>
    <xdr:graphicFrame macro="">
      <xdr:nvGraphicFramePr>
        <xdr:cNvPr id="4" name="Chart 3">
          <a:extLst>
            <a:ext uri="{FF2B5EF4-FFF2-40B4-BE49-F238E27FC236}">
              <a16:creationId xmlns:a16="http://schemas.microsoft.com/office/drawing/2014/main" id="{B057B183-738D-5071-5B06-7DF5B3599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76206</xdr:colOff>
      <xdr:row>61</xdr:row>
      <xdr:rowOff>150905</xdr:rowOff>
    </xdr:from>
    <xdr:to>
      <xdr:col>10</xdr:col>
      <xdr:colOff>537675</xdr:colOff>
      <xdr:row>75</xdr:row>
      <xdr:rowOff>32870</xdr:rowOff>
    </xdr:to>
    <xdr:graphicFrame macro="">
      <xdr:nvGraphicFramePr>
        <xdr:cNvPr id="5" name="Chart 4">
          <a:extLst>
            <a:ext uri="{FF2B5EF4-FFF2-40B4-BE49-F238E27FC236}">
              <a16:creationId xmlns:a16="http://schemas.microsoft.com/office/drawing/2014/main" id="{47D60EDA-45F6-7AA9-C3EE-4AD6C7E13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iddhi Mukim" refreshedDate="45378.488041898148" createdVersion="7" refreshedVersion="8" minRefreshableVersion="3" recordCount="103" xr:uid="{FC0E6DB8-2D29-449C-9177-1A77E9689797}">
  <cacheSource type="worksheet">
    <worksheetSource name="Master_Data"/>
  </cacheSource>
  <cacheFields count="32">
    <cacheField name="Order of Study" numFmtId="3">
      <sharedItems containsSemiMixedTypes="0" containsString="0" containsNumber="1" containsInteger="1" minValue="1" maxValue="103"/>
    </cacheField>
    <cacheField name="Schedule" numFmtId="3">
      <sharedItems/>
    </cacheField>
    <cacheField name="Column1" numFmtId="3">
      <sharedItems containsSemiMixedTypes="0" containsString="0" containsNumber="1" containsInteger="1" minValue="1" maxValue="31"/>
    </cacheField>
    <cacheField name="Column2" numFmtId="0">
      <sharedItems containsSemiMixedTypes="0" containsNonDate="0" containsDate="1" containsString="0" minDate="1899-12-30T01:29:20" maxDate="1900-01-07T13:06:44"/>
    </cacheField>
    <cacheField name="undone duration" numFmtId="0">
      <sharedItems containsSemiMixedTypes="0" containsDate="1" containsString="0" containsMixedTypes="1" minDate="1899-12-30T00:25:15" maxDate="1899-12-30T04:15:34"/>
    </cacheField>
    <cacheField name="Subject" numFmtId="0">
      <sharedItems count="19">
        <s v="Investment Risk"/>
        <s v="Market Risk"/>
        <s v="Credit Risk"/>
        <s v="Liquidity Risk"/>
        <s v="Operational Risk"/>
        <s v="Current Issues"/>
        <s v="Risk Mgt. &amp; Investment Mgt." u="1"/>
        <s v="Portfolio" u="1"/>
        <s v="FRA" u="1"/>
        <s v="Quants" u="1"/>
        <s v="Derivatives" u="1"/>
        <s v="Equity" u="1"/>
        <s v="Fixed Income" u="1"/>
        <s v="Corp. Issuers" u="1"/>
        <s v="Alt. Invest." u="1"/>
        <s v="Alt. Investments" u="1"/>
        <s v="Corporate Issuers" u="1"/>
        <s v="Economics" u="1"/>
        <s v="Ethics" u="1"/>
      </sharedItems>
    </cacheField>
    <cacheField name="Reading" numFmtId="0">
      <sharedItems containsSemiMixedTypes="0" containsString="0" containsNumber="1" containsInteger="1" minValue="1" maxValue="103"/>
    </cacheField>
    <cacheField name="Changes" numFmtId="0">
      <sharedItems/>
    </cacheField>
    <cacheField name="Topic" numFmtId="0">
      <sharedItems/>
    </cacheField>
    <cacheField name="No. of LOS" numFmtId="0">
      <sharedItems containsSemiMixedTypes="0" containsString="0" containsNumber="1" containsInteger="1" minValue="2" maxValue="17"/>
    </cacheField>
    <cacheField name="Lengthy" numFmtId="0">
      <sharedItems containsSemiMixedTypes="0" containsString="0" containsNumber="1" containsInteger="1" minValue="1" maxValue="4"/>
    </cacheField>
    <cacheField name="Numerical or Not" numFmtId="0">
      <sharedItems containsSemiMixedTypes="0" containsString="0" containsNumber="1" containsInteger="1" minValue="1" maxValue="4"/>
    </cacheField>
    <cacheField name="Diff. Level" numFmtId="0">
      <sharedItems containsSemiMixedTypes="0" containsString="0" containsNumber="1" containsInteger="1" minValue="1" maxValue="5"/>
    </cacheField>
    <cacheField name="Confusing" numFmtId="0">
      <sharedItems containsSemiMixedTypes="0" containsString="0" containsNumber="1" containsInteger="1" minValue="1" maxValue="5"/>
    </cacheField>
    <cacheField name="Imp. Level" numFmtId="0">
      <sharedItems containsSemiMixedTypes="0" containsString="0" containsNumber="1" containsInteger="1" minValue="1" maxValue="5"/>
    </cacheField>
    <cacheField name="Reqd. Prac." numFmtId="0">
      <sharedItems containsSemiMixedTypes="0" containsString="0" containsNumber="1" containsInteger="1" minValue="2" maxValue="4"/>
    </cacheField>
    <cacheField name="Duration (hh:mm)" numFmtId="20">
      <sharedItems containsSemiMixedTypes="0" containsNonDate="0" containsDate="1" containsString="0" minDate="1899-12-30T00:25:15" maxDate="1899-12-30T04:15:34" count="85">
        <d v="1899-12-30T01:29:20"/>
        <d v="1899-12-30T01:53:26"/>
        <d v="1899-12-30T01:41:58"/>
        <d v="1899-12-30T01:51:27"/>
        <d v="1899-12-30T01:29:08"/>
        <d v="1899-12-30T00:37:40"/>
        <d v="1899-12-30T01:39:16"/>
        <d v="1899-12-30T01:47:06"/>
        <d v="1899-12-30T00:57:12"/>
        <d v="1899-12-30T02:20:25"/>
        <d v="1899-12-30T02:01:27"/>
        <d v="1899-12-30T02:31:29"/>
        <d v="1899-12-30T02:21:05"/>
        <d v="1899-12-30T00:42:46"/>
        <d v="1899-12-30T01:13:56"/>
        <d v="1899-12-30T01:37:20"/>
        <d v="1899-12-30T02:08:18"/>
        <d v="1899-12-30T03:05:00"/>
        <d v="1899-12-30T01:08:34"/>
        <d v="1899-12-30T01:37:00"/>
        <d v="1899-12-30T01:24:25"/>
        <d v="1899-12-30T03:00:59"/>
        <d v="1899-12-30T01:22:48"/>
        <d v="1899-12-30T03:25:13"/>
        <d v="1899-12-30T01:15:44"/>
        <d v="1899-12-30T03:00:00"/>
        <d v="1899-12-30T02:28:14"/>
        <d v="1899-12-30T00:59:41"/>
        <d v="1899-12-30T01:55:41"/>
        <d v="1899-12-30T01:56:13"/>
        <d v="1899-12-30T01:23:35"/>
        <d v="1899-12-30T01:32:27"/>
        <d v="1899-12-30T02:27:37"/>
        <d v="1899-12-30T03:06:05"/>
        <d v="1899-12-30T02:17:07"/>
        <d v="1899-12-30T01:06:42"/>
        <d v="1899-12-30T03:13:43"/>
        <d v="1899-12-30T02:48:59"/>
        <d v="1899-12-30T01:54:31"/>
        <d v="1899-12-30T02:35:55"/>
        <d v="1899-12-30T01:55:21"/>
        <d v="1899-12-30T03:05:54"/>
        <d v="1899-12-30T02:25:01"/>
        <d v="1899-12-30T01:39:23"/>
        <d v="1899-12-30T01:20:43"/>
        <d v="1899-12-30T01:17:18"/>
        <d v="1899-12-30T01:56:12"/>
        <d v="1899-12-30T04:15:34"/>
        <d v="1899-12-30T03:10:39"/>
        <d v="1899-12-30T02:10:46"/>
        <d v="1899-12-30T00:41:52"/>
        <d v="1899-12-30T00:46:27"/>
        <d v="1899-12-30T02:38:05"/>
        <d v="1899-12-30T02:44:41"/>
        <d v="1899-12-30T01:40:57"/>
        <d v="1899-12-30T02:00:02"/>
        <d v="1899-12-30T00:51:44"/>
        <d v="1899-12-30T01:22:43"/>
        <d v="1899-12-30T01:10:46"/>
        <d v="1899-12-30T00:57:42"/>
        <d v="1899-12-30T00:30:01"/>
        <d v="1899-12-30T01:09:35"/>
        <d v="1899-12-30T01:24:39"/>
        <d v="1899-12-30T01:16:56"/>
        <d v="1899-12-30T01:35:50"/>
        <d v="1899-12-30T02:18:33"/>
        <d v="1899-12-30T01:17:55"/>
        <d v="1899-12-30T00:25:15"/>
        <d v="1899-12-30T01:09:11"/>
        <d v="1899-12-30T01:43:14"/>
        <d v="1899-12-30T01:27:06"/>
        <d v="1899-12-30T02:12:35"/>
        <d v="1899-12-30T01:04:19"/>
        <d v="1899-12-30T00:35:46"/>
        <d v="1899-12-30T01:41:48"/>
        <d v="1899-12-30T01:46:51"/>
        <d v="1899-12-30T01:15:07"/>
        <d v="1899-12-30T01:16:08"/>
        <d v="1899-12-30T02:59:48"/>
        <d v="1899-12-30T02:23:57"/>
        <d v="1899-12-30T01:11:38"/>
        <d v="1899-12-30T01:32:11"/>
        <d v="1899-12-30T01:52:34"/>
        <d v="1899-12-30T00:40:59"/>
        <d v="1899-12-30T00:33:26"/>
      </sharedItems>
      <fieldGroup par="31" base="16">
        <rangePr groupBy="seconds" startDate="1899-12-30T00:25:15" endDate="1899-12-30T04:15:34"/>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Cum. (%)" numFmtId="3">
      <sharedItems containsSemiMixedTypes="0" containsString="0" containsNumber="1" minValue="0.72588989225410461" maxValue="100"/>
    </cacheField>
    <cacheField name="Lectures" numFmtId="17">
      <sharedItems containsBlank="1" count="3">
        <s v="U"/>
        <s v="D" u="1"/>
        <m u="1"/>
      </sharedItems>
    </cacheField>
    <cacheField name="Self Study" numFmtId="17">
      <sharedItems containsBlank="1" count="3">
        <s v="U"/>
        <s v="D" u="1"/>
        <m u="1"/>
      </sharedItems>
    </cacheField>
    <cacheField name="Revision" numFmtId="17">
      <sharedItems containsBlank="1" count="3">
        <s v="U"/>
        <s v="D" u="1"/>
        <m u="1"/>
      </sharedItems>
    </cacheField>
    <cacheField name="Prac. Book" numFmtId="17">
      <sharedItems/>
    </cacheField>
    <cacheField name="GARP EOC Ques." numFmtId="17">
      <sharedItems/>
    </cacheField>
    <cacheField name="Confidence Level" numFmtId="0">
      <sharedItems containsSemiMixedTypes="0" containsString="0" containsNumber="1" containsInteger="1" minValue="2" maxValue="3"/>
    </cacheField>
    <cacheField name="Notes to Yourself" numFmtId="17">
      <sharedItems containsNonDate="0" containsString="0" containsBlank="1"/>
    </cacheField>
    <cacheField name="Total weights" numFmtId="9">
      <sharedItems containsSemiMixedTypes="0" containsString="0" containsNumber="1" minValue="2.8089887640449437E-3" maxValue="2.1834061135371178E-2"/>
    </cacheField>
    <cacheField name="Subjectwise weights" numFmtId="9">
      <sharedItems containsSemiMixedTypes="0" containsString="0" containsNumber="1" minValue="1.3888888888888888E-2" maxValue="0.12820512820512819"/>
    </cacheField>
    <cacheField name="Subjectwise weighted average" numFmtId="4">
      <sharedItems containsSemiMixedTypes="0" containsString="0" containsNumber="1" minValue="4.1666666666666664E-2" maxValue="0.30000000000000004"/>
    </cacheField>
    <cacheField name="Practice" numFmtId="17">
      <sharedItems count="3">
        <s v="U"/>
        <s v="D" u="1"/>
        <e v="#REF!" u="1"/>
      </sharedItems>
    </cacheField>
    <cacheField name="Extra Practice" numFmtId="17">
      <sharedItems count="3">
        <s v="U"/>
        <s v="D" u="1"/>
        <e v="#REF!" u="1"/>
      </sharedItems>
    </cacheField>
    <cacheField name="Minutes" numFmtId="0" databaseField="0">
      <fieldGroup base="16">
        <rangePr groupBy="minutes" startDate="1899-12-30T00:25:15" endDate="1899-12-30T04:15:34"/>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Hours" numFmtId="0" databaseField="0">
      <fieldGroup base="16">
        <rangePr groupBy="hours" startDate="1899-12-30T00:25:15" endDate="1899-12-30T04:15:34"/>
        <groupItems count="26">
          <s v="&lt;00-01-1900"/>
          <s v="00"/>
          <s v="01"/>
          <s v="02"/>
          <s v="03"/>
          <s v="04"/>
          <s v="05"/>
          <s v="06"/>
          <s v="07"/>
          <s v="08"/>
          <s v="09"/>
          <s v="10"/>
          <s v="11"/>
          <s v="12"/>
          <s v="13"/>
          <s v="14"/>
          <s v="15"/>
          <s v="16"/>
          <s v="17"/>
          <s v="18"/>
          <s v="19"/>
          <s v="20"/>
          <s v="21"/>
          <s v="22"/>
          <s v="23"/>
          <s v="&gt;00-01-1900"/>
        </groupItems>
      </fieldGroup>
    </cacheField>
  </cacheFields>
  <extLst>
    <ext xmlns:x14="http://schemas.microsoft.com/office/spreadsheetml/2009/9/main" uri="{725AE2AE-9491-48be-B2B4-4EB974FC3084}">
      <x14:pivotCacheDefinition pivotCacheId="17235301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3">
  <r>
    <n v="1"/>
    <s v="Current Week"/>
    <n v="1"/>
    <d v="1899-12-30T01:29:20"/>
    <d v="1899-12-30T01:29:20"/>
    <x v="0"/>
    <n v="83"/>
    <s v="Same"/>
    <s v="Factor Theory"/>
    <n v="6"/>
    <n v="3"/>
    <n v="3"/>
    <n v="3"/>
    <n v="4"/>
    <n v="4"/>
    <n v="3"/>
    <x v="0"/>
    <n v="0.72588989225410461"/>
    <x v="0"/>
    <x v="0"/>
    <x v="0"/>
    <s v="U"/>
    <s v="U"/>
    <n v="2"/>
    <m/>
    <n v="1.1235955056179775E-2"/>
    <n v="0.10256410256410256"/>
    <n v="0.20512820512820512"/>
    <x v="0"/>
    <x v="0"/>
  </r>
  <r>
    <n v="2"/>
    <s v="Current Week"/>
    <n v="1"/>
    <d v="1899-12-30T03:22:46"/>
    <d v="1899-12-30T01:53:26"/>
    <x v="0"/>
    <n v="84"/>
    <s v="Same"/>
    <s v="Factors"/>
    <n v="5"/>
    <n v="3"/>
    <n v="1"/>
    <n v="3"/>
    <n v="4"/>
    <n v="4"/>
    <n v="3"/>
    <x v="1"/>
    <n v="1.6476075427543726"/>
    <x v="0"/>
    <x v="0"/>
    <x v="0"/>
    <s v="U"/>
    <s v="U"/>
    <n v="2"/>
    <m/>
    <n v="1.1235955056179775E-2"/>
    <n v="0.10256410256410256"/>
    <n v="0.20512820512820512"/>
    <x v="0"/>
    <x v="0"/>
  </r>
  <r>
    <n v="3"/>
    <s v="Current Week"/>
    <n v="1"/>
    <d v="1899-12-30T05:04:44"/>
    <d v="1899-12-30T01:41:58"/>
    <x v="0"/>
    <n v="85"/>
    <s v="Same"/>
    <s v="Alpha and the Low-Risk Anomaly"/>
    <n v="9"/>
    <n v="3"/>
    <n v="3"/>
    <n v="3"/>
    <n v="4"/>
    <n v="4"/>
    <n v="3"/>
    <x v="2"/>
    <n v="2.4761512667862027"/>
    <x v="0"/>
    <x v="0"/>
    <x v="0"/>
    <s v="U"/>
    <s v="U"/>
    <n v="2"/>
    <m/>
    <n v="1.1235955056179775E-2"/>
    <n v="0.10256410256410256"/>
    <n v="0.20512820512820512"/>
    <x v="0"/>
    <x v="0"/>
  </r>
  <r>
    <n v="4"/>
    <s v="Week 2"/>
    <n v="2"/>
    <d v="1899-12-30T06:56:11"/>
    <d v="1899-12-30T01:51:27"/>
    <x v="1"/>
    <n v="1"/>
    <s v="Same"/>
    <s v="Estimating Market Risk Measures-An Introduction and Overview"/>
    <n v="6"/>
    <n v="4"/>
    <n v="4"/>
    <n v="4"/>
    <n v="4"/>
    <n v="4"/>
    <n v="4"/>
    <x v="3"/>
    <n v="3.3817530782606795"/>
    <x v="0"/>
    <x v="0"/>
    <x v="0"/>
    <s v="U"/>
    <s v="U"/>
    <n v="2"/>
    <m/>
    <n v="1.1235955056179775E-2"/>
    <n v="6.7796610169491525E-2"/>
    <n v="0.13559322033898305"/>
    <x v="0"/>
    <x v="0"/>
  </r>
  <r>
    <n v="5"/>
    <s v="Week 2"/>
    <n v="2"/>
    <d v="1899-12-30T08:25:19"/>
    <d v="1899-12-30T01:29:08"/>
    <x v="1"/>
    <n v="2"/>
    <s v="Same"/>
    <s v="Non-parametric Approaches"/>
    <n v="4"/>
    <n v="3"/>
    <n v="3"/>
    <n v="4"/>
    <n v="4"/>
    <n v="4"/>
    <n v="3"/>
    <x v="4"/>
    <n v="4.106017843890335"/>
    <x v="0"/>
    <x v="0"/>
    <x v="0"/>
    <s v="U"/>
    <s v="U"/>
    <n v="2"/>
    <m/>
    <n v="1.1235955056179775E-2"/>
    <n v="6.7796610169491525E-2"/>
    <n v="0.13559322033898305"/>
    <x v="0"/>
    <x v="0"/>
  </r>
  <r>
    <n v="6"/>
    <s v="Week 2"/>
    <n v="2"/>
    <d v="1899-12-30T09:02:59"/>
    <d v="1899-12-30T00:37:40"/>
    <x v="1"/>
    <n v="3"/>
    <s v="Same"/>
    <s v="Parametric Approaches II-Extreme Value"/>
    <n v="6"/>
    <n v="2"/>
    <n v="4"/>
    <n v="5"/>
    <n v="5"/>
    <n v="3"/>
    <n v="3"/>
    <x v="5"/>
    <n v="4.412083358161655"/>
    <x v="0"/>
    <x v="0"/>
    <x v="0"/>
    <s v="U"/>
    <s v="U"/>
    <n v="3"/>
    <m/>
    <n v="8.4269662921348312E-3"/>
    <n v="5.0847457627118647E-2"/>
    <n v="0.15254237288135594"/>
    <x v="0"/>
    <x v="0"/>
  </r>
  <r>
    <n v="7"/>
    <s v="Week 2"/>
    <n v="2"/>
    <d v="1899-12-30T10:42:15"/>
    <d v="1899-12-30T01:39:16"/>
    <x v="1"/>
    <n v="4"/>
    <s v="Same"/>
    <s v="Backtesting VaR"/>
    <n v="6"/>
    <n v="4"/>
    <n v="3"/>
    <n v="4"/>
    <n v="5"/>
    <n v="5"/>
    <n v="4"/>
    <x v="6"/>
    <n v="5.2186878727634181"/>
    <x v="0"/>
    <x v="0"/>
    <x v="0"/>
    <s v="U"/>
    <s v="U"/>
    <n v="2"/>
    <m/>
    <n v="1.4044943820224719E-2"/>
    <n v="8.4745762711864403E-2"/>
    <n v="0.16949152542372881"/>
    <x v="0"/>
    <x v="0"/>
  </r>
  <r>
    <n v="8"/>
    <s v="Week 2"/>
    <n v="2"/>
    <d v="1899-12-30T12:29:21"/>
    <d v="1899-12-30T01:47:06"/>
    <x v="1"/>
    <n v="5"/>
    <s v="Same"/>
    <s v="VaR Mapping"/>
    <n v="7"/>
    <n v="4"/>
    <n v="3"/>
    <n v="4"/>
    <n v="4"/>
    <n v="4"/>
    <n v="3"/>
    <x v="7"/>
    <n v="6.0889431801561189"/>
    <x v="0"/>
    <x v="0"/>
    <x v="0"/>
    <s v="U"/>
    <s v="U"/>
    <n v="2"/>
    <m/>
    <n v="1.7467248908296942E-2"/>
    <n v="6.7796610169491525E-2"/>
    <n v="0.13559322033898305"/>
    <x v="0"/>
    <x v="0"/>
  </r>
  <r>
    <n v="9"/>
    <s v="Week 2"/>
    <n v="2"/>
    <d v="1899-12-30T13:26:33"/>
    <d v="1899-12-30T00:57:12"/>
    <x v="1"/>
    <n v="6"/>
    <s v="Same"/>
    <s v="Basel Committee on Banking Supervision"/>
    <n v="6"/>
    <n v="2"/>
    <n v="1"/>
    <n v="3"/>
    <n v="3"/>
    <n v="3"/>
    <n v="3"/>
    <x v="8"/>
    <n v="6.5537293947486726"/>
    <x v="0"/>
    <x v="0"/>
    <x v="0"/>
    <s v="U"/>
    <s v="U"/>
    <n v="3"/>
    <m/>
    <n v="1.3100436681222707E-2"/>
    <n v="5.0847457627118647E-2"/>
    <n v="0.15254237288135594"/>
    <x v="0"/>
    <x v="0"/>
  </r>
  <r>
    <n v="10"/>
    <s v="Week 3"/>
    <n v="3"/>
    <d v="1899-12-30T15:46:58"/>
    <d v="1899-12-30T02:20:25"/>
    <x v="0"/>
    <n v="86"/>
    <s v="Same"/>
    <s v="Portfolio Construction"/>
    <n v="9"/>
    <n v="3"/>
    <n v="2"/>
    <n v="5"/>
    <n v="5"/>
    <n v="3"/>
    <n v="3"/>
    <x v="9"/>
    <n v="7.6947037123309165"/>
    <x v="0"/>
    <x v="0"/>
    <x v="0"/>
    <s v="U"/>
    <s v="U"/>
    <n v="3"/>
    <m/>
    <n v="1.3100436681222707E-2"/>
    <n v="7.6923076923076927E-2"/>
    <n v="0.23076923076923078"/>
    <x v="0"/>
    <x v="0"/>
  </r>
  <r>
    <n v="11"/>
    <s v="Week 3"/>
    <n v="3"/>
    <d v="1899-12-30T17:48:25"/>
    <d v="1899-12-30T02:01:27"/>
    <x v="0"/>
    <n v="87"/>
    <s v="Same"/>
    <s v="Portfolio Risk-Analytical Methods"/>
    <n v="5"/>
    <n v="3"/>
    <n v="4"/>
    <n v="4"/>
    <n v="4"/>
    <n v="5"/>
    <n v="4"/>
    <x v="10"/>
    <n v="8.6815618550278675"/>
    <x v="0"/>
    <x v="0"/>
    <x v="0"/>
    <s v="U"/>
    <s v="U"/>
    <n v="2"/>
    <m/>
    <n v="1.4044943820224719E-2"/>
    <n v="0.12820512820512819"/>
    <n v="0.25641025641025639"/>
    <x v="0"/>
    <x v="0"/>
  </r>
  <r>
    <n v="12"/>
    <s v="Week 3"/>
    <n v="3"/>
    <d v="1899-12-30T20:19:54"/>
    <d v="1899-12-30T02:31:29"/>
    <x v="0"/>
    <n v="88"/>
    <s v="Same"/>
    <s v="VaR and Risk Budgeting in Investment Management"/>
    <n v="8"/>
    <n v="3"/>
    <n v="2"/>
    <n v="3"/>
    <n v="4"/>
    <n v="4"/>
    <n v="3"/>
    <x v="11"/>
    <n v="9.91245984582965"/>
    <x v="0"/>
    <x v="0"/>
    <x v="0"/>
    <s v="U"/>
    <s v="U"/>
    <n v="2"/>
    <m/>
    <n v="1.1235955056179775E-2"/>
    <n v="0.10256410256410256"/>
    <n v="0.20512820512820512"/>
    <x v="0"/>
    <x v="0"/>
  </r>
  <r>
    <n v="13"/>
    <s v="Week 4"/>
    <n v="4"/>
    <d v="1899-12-30T22:40:59"/>
    <d v="1899-12-30T02:21:05"/>
    <x v="1"/>
    <n v="7"/>
    <s v="changes"/>
    <s v="Correlation Basics-Definitions, Applications, and Terminology"/>
    <n v="7"/>
    <n v="4"/>
    <n v="2"/>
    <n v="3"/>
    <n v="4"/>
    <n v="3"/>
    <n v="3"/>
    <x v="12"/>
    <n v="11.058851252160059"/>
    <x v="0"/>
    <x v="0"/>
    <x v="0"/>
    <s v="U"/>
    <s v="U"/>
    <n v="3"/>
    <m/>
    <n v="1.3100436681222707E-2"/>
    <n v="5.0847457627118647E-2"/>
    <n v="0.15254237288135594"/>
    <x v="0"/>
    <x v="0"/>
  </r>
  <r>
    <n v="14"/>
    <s v="Week 4"/>
    <n v="4"/>
    <d v="1899-12-30T23:23:45"/>
    <d v="1899-12-30T00:42:46"/>
    <x v="1"/>
    <n v="8"/>
    <s v="Same"/>
    <s v="Empirical Properties of Correlation-How Do Correlations Behave in the Real World"/>
    <n v="3"/>
    <n v="2"/>
    <n v="4"/>
    <n v="3"/>
    <n v="4"/>
    <n v="3"/>
    <n v="3"/>
    <x v="13"/>
    <n v="11.406357495354843"/>
    <x v="0"/>
    <x v="0"/>
    <x v="0"/>
    <s v="U"/>
    <s v="U"/>
    <n v="3"/>
    <m/>
    <n v="1.3100436681222707E-2"/>
    <n v="5.0847457627118647E-2"/>
    <n v="0.15254237288135594"/>
    <x v="0"/>
    <x v="0"/>
  </r>
  <r>
    <n v="15"/>
    <s v="Week 4"/>
    <n v="4"/>
    <d v="1899-12-31T00:37:41"/>
    <d v="1899-12-30T01:13:56"/>
    <x v="1"/>
    <n v="9"/>
    <s v="Same"/>
    <s v="Financial Correlation Modeling-Bottom-Up Approaches"/>
    <n v="3"/>
    <n v="1"/>
    <n v="2"/>
    <n v="5"/>
    <n v="5"/>
    <n v="3"/>
    <n v="3"/>
    <x v="14"/>
    <n v="12.007112637526337"/>
    <x v="0"/>
    <x v="0"/>
    <x v="0"/>
    <s v="U"/>
    <s v="U"/>
    <n v="2"/>
    <m/>
    <n v="1.3100436681222707E-2"/>
    <n v="5.0847457627118647E-2"/>
    <n v="0.10169491525423729"/>
    <x v="0"/>
    <x v="0"/>
  </r>
  <r>
    <n v="16"/>
    <s v="Week 4"/>
    <n v="4"/>
    <d v="1899-12-31T02:15:01"/>
    <d v="1899-12-30T01:37:20"/>
    <x v="0"/>
    <n v="89"/>
    <s v="Same"/>
    <s v="Risk Monitoring and Performance Measurement"/>
    <n v="10"/>
    <n v="3"/>
    <n v="1"/>
    <n v="3"/>
    <n v="3"/>
    <n v="3"/>
    <n v="3"/>
    <x v="15"/>
    <n v="12.79800759475842"/>
    <x v="0"/>
    <x v="0"/>
    <x v="0"/>
    <s v="U"/>
    <s v="U"/>
    <n v="2"/>
    <m/>
    <n v="1.3100436681222707E-2"/>
    <n v="7.6923076923076927E-2"/>
    <n v="0.15384615384615385"/>
    <x v="0"/>
    <x v="0"/>
  </r>
  <r>
    <n v="17"/>
    <s v="Week 5"/>
    <n v="5"/>
    <d v="1899-12-31T04:23:19"/>
    <d v="1899-12-30T02:08:18"/>
    <x v="0"/>
    <n v="90"/>
    <s v="Same"/>
    <s v="Portfolio Performance Evaluation"/>
    <n v="9"/>
    <n v="4"/>
    <n v="3"/>
    <n v="3"/>
    <n v="4"/>
    <n v="4"/>
    <n v="4"/>
    <x v="16"/>
    <n v="13.840526324342767"/>
    <x v="0"/>
    <x v="0"/>
    <x v="0"/>
    <s v="U"/>
    <s v="U"/>
    <n v="2"/>
    <m/>
    <n v="1.7467248908296942E-2"/>
    <n v="0.10256410256410256"/>
    <n v="0.20512820512820512"/>
    <x v="0"/>
    <x v="0"/>
  </r>
  <r>
    <n v="18"/>
    <s v="Week 5"/>
    <n v="5"/>
    <d v="1899-12-31T07:28:19"/>
    <d v="1899-12-30T03:05:00"/>
    <x v="0"/>
    <n v="91"/>
    <s v="changes"/>
    <s v="Hedge Funds"/>
    <n v="8"/>
    <n v="3"/>
    <n v="1"/>
    <n v="3"/>
    <n v="3"/>
    <n v="3"/>
    <n v="3"/>
    <x v="17"/>
    <n v="15.343768451958544"/>
    <x v="0"/>
    <x v="0"/>
    <x v="0"/>
    <s v="U"/>
    <s v="U"/>
    <n v="3"/>
    <m/>
    <n v="8.4269662921348312E-3"/>
    <n v="7.6923076923076927E-2"/>
    <n v="0.23076923076923078"/>
    <x v="0"/>
    <x v="0"/>
  </r>
  <r>
    <n v="19"/>
    <s v="Week 5"/>
    <n v="5"/>
    <d v="1899-12-31T08:36:53"/>
    <d v="1899-12-30T01:08:34"/>
    <x v="0"/>
    <n v="92"/>
    <s v="Same"/>
    <s v="Performing Due Diligence on Specific Managers and Funds"/>
    <n v="7"/>
    <n v="2"/>
    <n v="1"/>
    <n v="2"/>
    <n v="2"/>
    <n v="2"/>
    <n v="3"/>
    <x v="18"/>
    <n v="15.900916029707309"/>
    <x v="0"/>
    <x v="0"/>
    <x v="0"/>
    <s v="U"/>
    <s v="U"/>
    <n v="2"/>
    <m/>
    <n v="5.6179775280898875E-3"/>
    <n v="5.128205128205128E-2"/>
    <n v="0.10256410256410256"/>
    <x v="0"/>
    <x v="0"/>
  </r>
  <r>
    <n v="20"/>
    <s v="Week 6"/>
    <n v="6"/>
    <d v="1899-12-31T10:13:53"/>
    <d v="1899-12-30T01:37:00"/>
    <x v="0"/>
    <n v="93"/>
    <s v="Same"/>
    <s v="Predicting Fraud by Investment Managers"/>
    <n v="3"/>
    <n v="2"/>
    <n v="1"/>
    <n v="2"/>
    <n v="2"/>
    <n v="3"/>
    <n v="3"/>
    <x v="19"/>
    <n v="16.689102442565311"/>
    <x v="0"/>
    <x v="0"/>
    <x v="0"/>
    <s v="U"/>
    <s v="U"/>
    <n v="3"/>
    <m/>
    <n v="8.4269662921348312E-3"/>
    <n v="7.6923076923076927E-2"/>
    <n v="0.23076923076923078"/>
    <x v="0"/>
    <x v="0"/>
  </r>
  <r>
    <n v="21"/>
    <s v="Week 6"/>
    <n v="6"/>
    <d v="1899-12-31T11:38:18"/>
    <d v="1899-12-30T01:24:25"/>
    <x v="1"/>
    <n v="10"/>
    <s v="Same"/>
    <s v="Empirical Approaches to Risk Metrics and Hedging"/>
    <n v="7"/>
    <n v="3"/>
    <n v="3"/>
    <n v="4"/>
    <n v="4"/>
    <n v="4"/>
    <n v="4"/>
    <x v="20"/>
    <n v="17.375041305301703"/>
    <x v="0"/>
    <x v="0"/>
    <x v="0"/>
    <s v="U"/>
    <s v="U"/>
    <n v="3"/>
    <m/>
    <n v="1.7467248908296942E-2"/>
    <n v="6.7796610169491525E-2"/>
    <n v="0.20338983050847459"/>
    <x v="0"/>
    <x v="0"/>
  </r>
  <r>
    <n v="22"/>
    <s v="Week 6"/>
    <n v="6"/>
    <d v="1899-12-31T14:39:17"/>
    <d v="1899-12-30T03:00:59"/>
    <x v="1"/>
    <n v="11"/>
    <s v="Same"/>
    <s v="The Science of Term Structure Models"/>
    <n v="10"/>
    <n v="4"/>
    <n v="3"/>
    <n v="4"/>
    <n v="4"/>
    <n v="3"/>
    <n v="3"/>
    <x v="21"/>
    <n v="18.845645473209782"/>
    <x v="0"/>
    <x v="0"/>
    <x v="0"/>
    <s v="U"/>
    <s v="U"/>
    <n v="2"/>
    <m/>
    <n v="1.3100436681222707E-2"/>
    <n v="5.0847457627118647E-2"/>
    <n v="0.10169491525423729"/>
    <x v="0"/>
    <x v="0"/>
  </r>
  <r>
    <n v="23"/>
    <s v="Week 6"/>
    <n v="6"/>
    <d v="1899-12-31T16:02:05"/>
    <d v="1899-12-30T01:22:48"/>
    <x v="1"/>
    <n v="12"/>
    <s v="Same"/>
    <s v="The Evolution of Short Rates and the Shape of the Term Structure"/>
    <n v="5"/>
    <n v="3"/>
    <n v="4"/>
    <n v="4"/>
    <n v="4"/>
    <n v="3"/>
    <n v="4"/>
    <x v="22"/>
    <n v="19.518447895731871"/>
    <x v="0"/>
    <x v="0"/>
    <x v="0"/>
    <s v="U"/>
    <s v="U"/>
    <n v="3"/>
    <m/>
    <n v="1.3100436681222707E-2"/>
    <n v="5.0847457627118647E-2"/>
    <n v="0.15254237288135594"/>
    <x v="0"/>
    <x v="0"/>
  </r>
  <r>
    <n v="24"/>
    <s v="Week 7"/>
    <n v="7"/>
    <d v="1899-12-31T19:27:18"/>
    <d v="1899-12-30T03:25:13"/>
    <x v="1"/>
    <n v="13"/>
    <s v="Same"/>
    <s v="The Art of Term Structure Models-Drift"/>
    <n v="8"/>
    <n v="4"/>
    <n v="3"/>
    <n v="4"/>
    <n v="4"/>
    <n v="4"/>
    <n v="3"/>
    <x v="23"/>
    <n v="21.185963239635754"/>
    <x v="0"/>
    <x v="0"/>
    <x v="0"/>
    <s v="U"/>
    <s v="U"/>
    <n v="2"/>
    <m/>
    <n v="1.7467248908296942E-2"/>
    <n v="6.7796610169491525E-2"/>
    <n v="0.13559322033898305"/>
    <x v="0"/>
    <x v="0"/>
  </r>
  <r>
    <n v="25"/>
    <s v="Week 7"/>
    <n v="7"/>
    <d v="1899-12-31T20:43:02"/>
    <d v="1899-12-30T01:15:44"/>
    <x v="1"/>
    <n v="14"/>
    <s v="Same"/>
    <s v="The Art of Term Structure Models-Volatility and Distribution"/>
    <n v="6"/>
    <n v="3"/>
    <n v="3"/>
    <n v="4"/>
    <n v="5"/>
    <n v="4"/>
    <n v="3"/>
    <x v="24"/>
    <n v="21.801344521427289"/>
    <x v="0"/>
    <x v="0"/>
    <x v="0"/>
    <s v="U"/>
    <s v="U"/>
    <n v="2"/>
    <m/>
    <n v="1.1235955056179775E-2"/>
    <n v="6.7796610169491525E-2"/>
    <n v="0.13559322033898305"/>
    <x v="0"/>
    <x v="0"/>
  </r>
  <r>
    <n v="26"/>
    <s v="Week 8"/>
    <n v="8"/>
    <d v="1899-12-31T23:43:02"/>
    <d v="1899-12-30T03:00:00"/>
    <x v="2"/>
    <n v="17"/>
    <s v="New"/>
    <s v="Fundamentals of Credit Risk"/>
    <n v="5"/>
    <n v="3"/>
    <n v="1"/>
    <n v="1"/>
    <n v="1"/>
    <n v="2"/>
    <n v="2"/>
    <x v="25"/>
    <n v="23.263958483431828"/>
    <x v="0"/>
    <x v="0"/>
    <x v="0"/>
    <s v="U"/>
    <s v="U"/>
    <n v="3"/>
    <m/>
    <n v="8.7336244541484712E-3"/>
    <n v="2.247191011235955E-2"/>
    <n v="6.741573033707865E-2"/>
    <x v="0"/>
    <x v="0"/>
  </r>
  <r>
    <n v="27"/>
    <s v="Week 8"/>
    <n v="8"/>
    <d v="1900-01-01T02:43:02"/>
    <d v="1899-12-30T03:00:00"/>
    <x v="2"/>
    <n v="18"/>
    <s v="New"/>
    <s v="Governance"/>
    <n v="5"/>
    <n v="3"/>
    <n v="1"/>
    <n v="1"/>
    <n v="1"/>
    <n v="2"/>
    <n v="2"/>
    <x v="25"/>
    <n v="24.726572445436364"/>
    <x v="0"/>
    <x v="0"/>
    <x v="0"/>
    <s v="U"/>
    <s v="U"/>
    <n v="2"/>
    <m/>
    <n v="8.7336244541484712E-3"/>
    <n v="2.247191011235955E-2"/>
    <n v="4.49438202247191E-2"/>
    <x v="0"/>
    <x v="0"/>
  </r>
  <r>
    <n v="28"/>
    <s v="Week 8"/>
    <n v="8"/>
    <d v="1900-01-01T05:11:16"/>
    <d v="1899-12-30T02:28:14"/>
    <x v="1"/>
    <n v="15"/>
    <s v="Same"/>
    <s v="Volatility Smiles"/>
    <n v="9"/>
    <n v="3"/>
    <n v="1"/>
    <n v="4"/>
    <n v="5"/>
    <n v="5"/>
    <n v="4"/>
    <x v="26"/>
    <n v="25.931062128590842"/>
    <x v="0"/>
    <x v="0"/>
    <x v="0"/>
    <s v="U"/>
    <s v="U"/>
    <n v="2"/>
    <m/>
    <n v="1.4044943820224719E-2"/>
    <n v="8.4745762711864403E-2"/>
    <n v="0.16949152542372881"/>
    <x v="0"/>
    <x v="0"/>
  </r>
  <r>
    <n v="29"/>
    <s v="Week 8"/>
    <n v="8"/>
    <d v="1900-01-01T06:10:57"/>
    <d v="1899-12-30T00:59:41"/>
    <x v="1"/>
    <n v="16"/>
    <s v="Same"/>
    <s v="Fundamental Review of the Trading Book"/>
    <n v="3"/>
    <n v="2"/>
    <n v="1"/>
    <n v="3"/>
    <n v="4"/>
    <n v="4"/>
    <n v="3"/>
    <x v="27"/>
    <n v="26.41602699877031"/>
    <x v="0"/>
    <x v="0"/>
    <x v="0"/>
    <s v="U"/>
    <s v="U"/>
    <n v="3"/>
    <m/>
    <n v="1.7467248908296942E-2"/>
    <n v="6.7796610169491525E-2"/>
    <n v="0.20338983050847459"/>
    <x v="0"/>
    <x v="0"/>
  </r>
  <r>
    <n v="30"/>
    <s v="Week 9"/>
    <n v="9"/>
    <d v="1900-01-01T08:06:38"/>
    <d v="1899-12-30T01:55:41"/>
    <x v="2"/>
    <n v="20"/>
    <s v="changes"/>
    <s v="Capital Structure in Banks"/>
    <n v="9"/>
    <n v="3"/>
    <n v="4"/>
    <n v="3"/>
    <n v="3"/>
    <n v="5"/>
    <n v="4"/>
    <x v="28"/>
    <n v="27.35602732379564"/>
    <x v="0"/>
    <x v="0"/>
    <x v="0"/>
    <s v="U"/>
    <s v="U"/>
    <n v="2"/>
    <m/>
    <n v="2.1834061135371178E-2"/>
    <n v="5.6179775280898875E-2"/>
    <n v="0.11235955056179775"/>
    <x v="0"/>
    <x v="0"/>
  </r>
  <r>
    <n v="31"/>
    <s v="Week 9"/>
    <n v="9"/>
    <d v="1900-01-01T11:06:38"/>
    <d v="1899-12-30T03:00:00"/>
    <x v="2"/>
    <n v="25"/>
    <s v="New"/>
    <s v="Estimating Default Probabilities"/>
    <n v="14"/>
    <n v="3"/>
    <n v="4"/>
    <n v="3"/>
    <n v="3"/>
    <n v="5"/>
    <n v="4"/>
    <x v="25"/>
    <n v="28.818641285800179"/>
    <x v="0"/>
    <x v="0"/>
    <x v="0"/>
    <s v="U"/>
    <s v="U"/>
    <n v="3"/>
    <m/>
    <n v="2.1834061135371178E-2"/>
    <n v="5.6179775280898875E-2"/>
    <n v="0.16853932584269662"/>
    <x v="0"/>
    <x v="0"/>
  </r>
  <r>
    <n v="32"/>
    <s v="Week 10"/>
    <n v="10"/>
    <d v="1900-01-01T14:06:38"/>
    <d v="1899-12-30T03:00:00"/>
    <x v="2"/>
    <n v="26"/>
    <s v="New"/>
    <s v="Credit Value at Risk"/>
    <n v="6"/>
    <n v="3"/>
    <n v="4"/>
    <n v="3"/>
    <n v="3"/>
    <n v="5"/>
    <n v="4"/>
    <x v="25"/>
    <n v="30.281255247804715"/>
    <x v="0"/>
    <x v="0"/>
    <x v="0"/>
    <s v="U"/>
    <s v="U"/>
    <n v="3"/>
    <m/>
    <n v="2.1834061135371178E-2"/>
    <n v="5.6179775280898875E-2"/>
    <n v="0.16853932584269662"/>
    <x v="0"/>
    <x v="0"/>
  </r>
  <r>
    <n v="33"/>
    <s v="Week 10"/>
    <n v="10"/>
    <d v="1900-01-01T17:06:38"/>
    <d v="1899-12-30T03:00:00"/>
    <x v="2"/>
    <n v="28"/>
    <s v="New"/>
    <s v="Credit Risk"/>
    <n v="7"/>
    <n v="4"/>
    <n v="3"/>
    <n v="4"/>
    <n v="5"/>
    <n v="5"/>
    <n v="4"/>
    <x v="25"/>
    <n v="31.743869209809255"/>
    <x v="0"/>
    <x v="0"/>
    <x v="0"/>
    <s v="U"/>
    <s v="U"/>
    <n v="2"/>
    <m/>
    <n v="2.1834061135371178E-2"/>
    <n v="5.6179775280898875E-2"/>
    <n v="0.11235955056179775"/>
    <x v="0"/>
    <x v="0"/>
  </r>
  <r>
    <n v="34"/>
    <s v="Week 11"/>
    <n v="11"/>
    <d v="1900-01-01T20:06:38"/>
    <d v="1899-12-30T03:00:00"/>
    <x v="2"/>
    <n v="29"/>
    <s v="New"/>
    <s v="Credit Derivatives"/>
    <n v="8"/>
    <n v="4"/>
    <n v="3"/>
    <n v="4"/>
    <n v="5"/>
    <n v="5"/>
    <n v="4"/>
    <x v="25"/>
    <n v="33.206483171813794"/>
    <x v="0"/>
    <x v="0"/>
    <x v="0"/>
    <s v="U"/>
    <s v="U"/>
    <n v="2"/>
    <m/>
    <n v="2.1834061135371178E-2"/>
    <n v="5.6179775280898875E-2"/>
    <n v="0.11235955056179775"/>
    <x v="0"/>
    <x v="0"/>
  </r>
  <r>
    <n v="35"/>
    <s v="Week 11"/>
    <n v="11"/>
    <d v="1900-01-01T23:06:38"/>
    <d v="1899-12-30T03:00:00"/>
    <x v="2"/>
    <n v="30"/>
    <s v="New"/>
    <s v="Derivatives"/>
    <n v="10"/>
    <n v="4"/>
    <n v="3"/>
    <n v="4"/>
    <n v="5"/>
    <n v="5"/>
    <n v="4"/>
    <x v="25"/>
    <n v="34.669097133818333"/>
    <x v="0"/>
    <x v="0"/>
    <x v="0"/>
    <s v="U"/>
    <s v="U"/>
    <n v="2"/>
    <m/>
    <n v="2.1834061135371178E-2"/>
    <n v="5.6179775280898875E-2"/>
    <n v="0.11235955056179775"/>
    <x v="0"/>
    <x v="0"/>
  </r>
  <r>
    <n v="36"/>
    <s v="Week 11"/>
    <n v="11"/>
    <d v="1900-01-02T01:02:51"/>
    <d v="1899-12-30T01:56:13"/>
    <x v="2"/>
    <n v="39"/>
    <s v="Same"/>
    <s v="An Introduction to Securitisation"/>
    <n v="8"/>
    <n v="4"/>
    <n v="2"/>
    <n v="4"/>
    <n v="4"/>
    <n v="4"/>
    <n v="3"/>
    <x v="29"/>
    <n v="35.613431129842191"/>
    <x v="0"/>
    <x v="0"/>
    <x v="0"/>
    <s v="U"/>
    <s v="U"/>
    <n v="2"/>
    <m/>
    <n v="1.7467248908296942E-2"/>
    <n v="4.49438202247191E-2"/>
    <n v="8.98876404494382E-2"/>
    <x v="0"/>
    <x v="0"/>
  </r>
  <r>
    <n v="37"/>
    <s v="Week 11"/>
    <n v="11"/>
    <d v="1900-01-02T02:26:26"/>
    <n v="5.8043981481481481E-2"/>
    <x v="2"/>
    <n v="31"/>
    <s v="Same"/>
    <s v="Counterparty Risk and Beyond"/>
    <n v="8"/>
    <n v="3"/>
    <n v="1"/>
    <n v="4"/>
    <n v="3"/>
    <n v="3"/>
    <n v="3"/>
    <x v="30"/>
    <n v="36.292598631643372"/>
    <x v="0"/>
    <x v="0"/>
    <x v="0"/>
    <s v="U"/>
    <s v="U"/>
    <n v="3"/>
    <m/>
    <n v="8.4269662921348312E-3"/>
    <n v="3.3707865168539325E-2"/>
    <n v="0.10112359550561797"/>
    <x v="0"/>
    <x v="0"/>
  </r>
  <r>
    <n v="38"/>
    <s v="Week 12"/>
    <n v="12"/>
    <d v="1900-01-02T03:58:53"/>
    <n v="6.4201388888888891E-2"/>
    <x v="2"/>
    <n v="32"/>
    <s v="Same"/>
    <s v="Netting, Close-out and Related Aspects"/>
    <n v="6"/>
    <n v="2"/>
    <n v="1"/>
    <n v="3"/>
    <n v="3"/>
    <n v="4"/>
    <n v="4"/>
    <x v="31"/>
    <n v="37.043813413795149"/>
    <x v="0"/>
    <x v="0"/>
    <x v="0"/>
    <s v="U"/>
    <s v="U"/>
    <n v="2"/>
    <m/>
    <n v="1.1235955056179775E-2"/>
    <n v="4.49438202247191E-2"/>
    <n v="8.98876404494382E-2"/>
    <x v="0"/>
    <x v="0"/>
  </r>
  <r>
    <n v="39"/>
    <s v="Week 12"/>
    <n v="12"/>
    <d v="1900-01-02T06:26:30"/>
    <d v="1899-12-30T02:27:37"/>
    <x v="2"/>
    <n v="33"/>
    <s v="Same"/>
    <s v="Margin Collateral and Settlement"/>
    <n v="11"/>
    <n v="3"/>
    <n v="1"/>
    <n v="3"/>
    <n v="4"/>
    <n v="4"/>
    <n v="4"/>
    <x v="32"/>
    <n v="38.243292289857571"/>
    <x v="0"/>
    <x v="0"/>
    <x v="0"/>
    <s v="U"/>
    <s v="U"/>
    <n v="2"/>
    <m/>
    <n v="1.7467248908296942E-2"/>
    <n v="4.49438202247191E-2"/>
    <n v="8.98876404494382E-2"/>
    <x v="0"/>
    <x v="0"/>
  </r>
  <r>
    <n v="40"/>
    <s v="Week 13"/>
    <n v="13"/>
    <d v="1900-01-02T12:56:24"/>
    <d v="1899-12-30T03:06:05"/>
    <x v="3"/>
    <n v="64"/>
    <s v="Same"/>
    <s v="Liquidity Risk"/>
    <n v="4"/>
    <n v="4"/>
    <n v="3"/>
    <n v="4"/>
    <n v="4"/>
    <n v="5"/>
    <n v="4"/>
    <x v="33"/>
    <n v="39.755337186689111"/>
    <x v="0"/>
    <x v="0"/>
    <x v="0"/>
    <s v="U"/>
    <s v="U"/>
    <n v="2"/>
    <m/>
    <n v="2.1834061135371178E-2"/>
    <n v="7.4626865671641784E-2"/>
    <n v="0.14925373134328357"/>
    <x v="0"/>
    <x v="0"/>
  </r>
  <r>
    <n v="41"/>
    <s v="Week 13"/>
    <n v="13"/>
    <d v="1900-01-02T11:49:42"/>
    <d v="1899-12-30T02:17:07"/>
    <x v="3"/>
    <n v="65"/>
    <s v="Same"/>
    <s v="Liquidity and Leverage"/>
    <n v="7"/>
    <n v="4"/>
    <n v="3"/>
    <n v="4"/>
    <n v="4"/>
    <n v="4"/>
    <n v="4"/>
    <x v="34"/>
    <n v="40.869496914967947"/>
    <x v="0"/>
    <x v="0"/>
    <x v="0"/>
    <s v="U"/>
    <s v="U"/>
    <n v="2"/>
    <m/>
    <n v="1.7467248908296942E-2"/>
    <n v="5.9701492537313432E-2"/>
    <n v="0.11940298507462686"/>
    <x v="0"/>
    <x v="0"/>
  </r>
  <r>
    <n v="42"/>
    <s v="Week 13"/>
    <n v="13"/>
    <d v="1900-01-02T12:56:24"/>
    <d v="1899-12-30T01:06:42"/>
    <x v="3"/>
    <n v="66"/>
    <s v="Same"/>
    <s v="Early Warning Indicators"/>
    <n v="3"/>
    <n v="2"/>
    <n v="1"/>
    <n v="2"/>
    <n v="2"/>
    <n v="3"/>
    <n v="3"/>
    <x v="35"/>
    <n v="41.411476644221842"/>
    <x v="0"/>
    <x v="0"/>
    <x v="0"/>
    <s v="U"/>
    <s v="U"/>
    <n v="2"/>
    <m/>
    <n v="1.3100436681222707E-2"/>
    <n v="4.4776119402985072E-2"/>
    <n v="8.9552238805970144E-2"/>
    <x v="0"/>
    <x v="0"/>
  </r>
  <r>
    <n v="43"/>
    <s v="Week 13"/>
    <n v="13"/>
    <d v="1900-01-02T16:10:07"/>
    <d v="1899-12-30T03:13:43"/>
    <x v="2"/>
    <n v="36"/>
    <s v="Same"/>
    <s v="CVA"/>
    <n v="17"/>
    <n v="4"/>
    <n v="2"/>
    <n v="4"/>
    <n v="4"/>
    <n v="5"/>
    <n v="4"/>
    <x v="36"/>
    <n v="42.985547207219881"/>
    <x v="0"/>
    <x v="0"/>
    <x v="0"/>
    <s v="U"/>
    <s v="U"/>
    <n v="2"/>
    <m/>
    <n v="2.1834061135371178E-2"/>
    <n v="5.6179775280898875E-2"/>
    <n v="0.11235955056179775"/>
    <x v="0"/>
    <x v="0"/>
  </r>
  <r>
    <n v="44"/>
    <s v="Week 14"/>
    <n v="14"/>
    <d v="1900-01-02T18:59:06"/>
    <d v="1899-12-30T02:48:59"/>
    <x v="2"/>
    <n v="35"/>
    <s v="Same"/>
    <s v="Future Value and Exposure"/>
    <n v="9"/>
    <n v="4"/>
    <n v="3"/>
    <n v="5"/>
    <n v="5"/>
    <n v="5"/>
    <n v="4"/>
    <x v="37"/>
    <n v="44.358643777660994"/>
    <x v="0"/>
    <x v="0"/>
    <x v="0"/>
    <s v="U"/>
    <s v="U"/>
    <n v="2"/>
    <m/>
    <n v="2.1834061135371178E-2"/>
    <n v="5.6179775280898875E-2"/>
    <n v="0.11235955056179775"/>
    <x v="0"/>
    <x v="0"/>
  </r>
  <r>
    <n v="45"/>
    <s v="Week 14"/>
    <n v="14"/>
    <d v="1900-01-02T20:53:37"/>
    <d v="1899-12-30T01:54:31"/>
    <x v="2"/>
    <n v="37"/>
    <s v="changes"/>
    <s v="The Evolution of Stress Testing Counterparty Exposures"/>
    <n v="8"/>
    <n v="2"/>
    <n v="2"/>
    <n v="4"/>
    <n v="5"/>
    <n v="3"/>
    <n v="3"/>
    <x v="38"/>
    <n v="45.289164197377033"/>
    <x v="0"/>
    <x v="0"/>
    <x v="0"/>
    <s v="U"/>
    <s v="U"/>
    <n v="2"/>
    <m/>
    <n v="8.4269662921348312E-3"/>
    <n v="3.3707865168539325E-2"/>
    <n v="6.741573033707865E-2"/>
    <x v="0"/>
    <x v="0"/>
  </r>
  <r>
    <n v="46"/>
    <s v="Week 15"/>
    <n v="15"/>
    <d v="1900-01-02T23:53:37"/>
    <d v="1899-12-30T03:00:00"/>
    <x v="2"/>
    <n v="19"/>
    <s v="New"/>
    <s v="Credit Risk Management"/>
    <n v="10"/>
    <n v="2"/>
    <n v="2"/>
    <n v="4"/>
    <n v="5"/>
    <n v="3"/>
    <n v="3"/>
    <x v="25"/>
    <n v="46.751778159381566"/>
    <x v="0"/>
    <x v="0"/>
    <x v="0"/>
    <s v="U"/>
    <s v="U"/>
    <n v="2"/>
    <m/>
    <n v="8.4269662921348312E-3"/>
    <n v="3.3707865168539325E-2"/>
    <n v="6.741573033707865E-2"/>
    <x v="0"/>
    <x v="0"/>
  </r>
  <r>
    <n v="47"/>
    <s v="Week 20"/>
    <n v="20"/>
    <d v="1900-01-04T11:35:37"/>
    <d v="1899-12-30T02:35:55"/>
    <x v="4"/>
    <n v="41"/>
    <s v="Same"/>
    <s v="Risk Governance"/>
    <n v="4"/>
    <n v="2"/>
    <n v="1"/>
    <n v="2"/>
    <n v="2"/>
    <n v="3"/>
    <n v="4"/>
    <x v="39"/>
    <n v="48.018699790358646"/>
    <x v="0"/>
    <x v="0"/>
    <x v="0"/>
    <s v="U"/>
    <s v="U"/>
    <n v="2"/>
    <m/>
    <n v="8.4269662921348312E-3"/>
    <n v="4.1666666666666664E-2"/>
    <n v="8.3333333333333329E-2"/>
    <x v="0"/>
    <x v="0"/>
  </r>
  <r>
    <n v="48"/>
    <s v="Week 15"/>
    <n v="15"/>
    <d v="1900-01-03T04:24:53"/>
    <d v="1899-12-30T01:55:21"/>
    <x v="4"/>
    <n v="42"/>
    <s v="Same"/>
    <s v="Risk Identification"/>
    <n v="4"/>
    <n v="2"/>
    <n v="1"/>
    <n v="2"/>
    <n v="2"/>
    <n v="2"/>
    <n v="3"/>
    <x v="40"/>
    <n v="48.955991571009889"/>
    <x v="0"/>
    <x v="0"/>
    <x v="0"/>
    <s v="U"/>
    <s v="U"/>
    <n v="3"/>
    <m/>
    <n v="5.6179775280898875E-3"/>
    <n v="2.7777777777777776E-2"/>
    <n v="8.3333333333333329E-2"/>
    <x v="0"/>
    <x v="0"/>
  </r>
  <r>
    <n v="49"/>
    <s v="Week 16"/>
    <n v="16"/>
    <d v="1900-01-03T07:30:47"/>
    <d v="1899-12-30T03:05:54"/>
    <x v="4"/>
    <n v="43"/>
    <s v="changes"/>
    <s v="Risk Measurement and Assessment"/>
    <n v="7"/>
    <n v="4"/>
    <n v="1"/>
    <n v="3"/>
    <n v="2"/>
    <n v="4"/>
    <n v="3"/>
    <x v="41"/>
    <n v="50.466546768435691"/>
    <x v="0"/>
    <x v="0"/>
    <x v="0"/>
    <s v="U"/>
    <s v="U"/>
    <n v="3"/>
    <m/>
    <n v="1.1235955056179775E-2"/>
    <n v="5.5555555555555552E-2"/>
    <n v="0.16666666666666666"/>
    <x v="0"/>
    <x v="0"/>
  </r>
  <r>
    <n v="50"/>
    <s v="Week 16"/>
    <n v="16"/>
    <d v="1900-01-03T09:55:48"/>
    <d v="1899-12-30T02:25:01"/>
    <x v="4"/>
    <n v="44"/>
    <s v="changes"/>
    <s v="Risk Mitigation"/>
    <n v="7"/>
    <n v="3"/>
    <n v="1"/>
    <n v="3"/>
    <n v="2"/>
    <n v="3"/>
    <n v="2"/>
    <x v="42"/>
    <n v="51.644898998380285"/>
    <x v="0"/>
    <x v="0"/>
    <x v="0"/>
    <s v="U"/>
    <s v="U"/>
    <n v="2"/>
    <m/>
    <n v="8.4269662921348312E-3"/>
    <n v="4.1666666666666664E-2"/>
    <n v="8.3333333333333329E-2"/>
    <x v="0"/>
    <x v="0"/>
  </r>
  <r>
    <n v="51"/>
    <s v="Week 16"/>
    <n v="16"/>
    <d v="1900-01-03T11:35:11"/>
    <d v="1899-12-30T01:39:23"/>
    <x v="4"/>
    <n v="45"/>
    <s v="Same"/>
    <s v="Risk Reporting"/>
    <n v="4"/>
    <n v="2"/>
    <n v="1"/>
    <n v="2"/>
    <n v="2"/>
    <n v="3"/>
    <n v="3"/>
    <x v="43"/>
    <n v="52.452451503512975"/>
    <x v="0"/>
    <x v="0"/>
    <x v="0"/>
    <s v="U"/>
    <s v="U"/>
    <n v="2"/>
    <m/>
    <n v="1.3100436681222707E-2"/>
    <n v="4.1666666666666664E-2"/>
    <n v="8.3333333333333329E-2"/>
    <x v="0"/>
    <x v="0"/>
  </r>
  <r>
    <n v="52"/>
    <s v="Week 17"/>
    <n v="17"/>
    <d v="1900-01-03T12:55:54"/>
    <d v="1899-12-30T01:20:43"/>
    <x v="4"/>
    <n v="46"/>
    <s v="Same"/>
    <s v="Integrated Risk Management"/>
    <n v="4"/>
    <n v="2"/>
    <n v="1"/>
    <n v="2"/>
    <n v="2"/>
    <n v="3"/>
    <n v="2"/>
    <x v="44"/>
    <n v="53.108325523697054"/>
    <x v="0"/>
    <x v="0"/>
    <x v="0"/>
    <s v="U"/>
    <s v="U"/>
    <n v="3"/>
    <m/>
    <n v="1.3100436681222707E-2"/>
    <n v="4.1666666666666664E-2"/>
    <n v="0.125"/>
    <x v="0"/>
    <x v="0"/>
  </r>
  <r>
    <n v="53"/>
    <s v="Week 17"/>
    <n v="17"/>
    <d v="1900-01-03T15:55:54"/>
    <d v="1899-12-30T03:00:00"/>
    <x v="2"/>
    <n v="22"/>
    <s v="New"/>
    <s v="Credit Scoring and Rating"/>
    <n v="4"/>
    <n v="2"/>
    <n v="1"/>
    <n v="3"/>
    <n v="3"/>
    <n v="3"/>
    <n v="3"/>
    <x v="25"/>
    <n v="54.570939485701587"/>
    <x v="0"/>
    <x v="0"/>
    <x v="0"/>
    <s v="U"/>
    <s v="U"/>
    <n v="3"/>
    <m/>
    <n v="1.3100436681222707E-2"/>
    <n v="3.3707865168539325E-2"/>
    <n v="0.10112359550561797"/>
    <x v="0"/>
    <x v="0"/>
  </r>
  <r>
    <n v="54"/>
    <s v="Week 17"/>
    <n v="17"/>
    <d v="1900-01-03T17:13:12"/>
    <d v="1899-12-30T01:17:18"/>
    <x v="2"/>
    <n v="23"/>
    <s v="Same"/>
    <s v="Credit Scoring and Retail Credit Risk Management"/>
    <n v="8"/>
    <n v="2"/>
    <n v="1"/>
    <n v="3"/>
    <n v="3"/>
    <n v="3"/>
    <n v="3"/>
    <x v="45"/>
    <n v="55.199050926051306"/>
    <x v="0"/>
    <x v="0"/>
    <x v="0"/>
    <s v="U"/>
    <s v="U"/>
    <n v="3"/>
    <m/>
    <n v="1.3100436681222707E-2"/>
    <n v="3.3707865168539325E-2"/>
    <n v="0.10112359550561797"/>
    <x v="0"/>
    <x v="0"/>
  </r>
  <r>
    <n v="55"/>
    <s v="Week 18"/>
    <n v="18"/>
    <d v="1900-01-03T20:13:12"/>
    <d v="1899-12-30T03:00:00"/>
    <x v="2"/>
    <n v="21"/>
    <s v="changes"/>
    <s v="Introduction to Credit Risk Modeling and Assessment"/>
    <n v="7"/>
    <n v="2"/>
    <n v="1"/>
    <n v="3"/>
    <n v="3"/>
    <n v="3"/>
    <n v="3"/>
    <x v="25"/>
    <n v="56.661664888055853"/>
    <x v="0"/>
    <x v="0"/>
    <x v="0"/>
    <s v="U"/>
    <s v="U"/>
    <n v="2"/>
    <m/>
    <n v="1.3100436681222707E-2"/>
    <n v="3.3707865168539325E-2"/>
    <n v="6.741573033707865E-2"/>
    <x v="0"/>
    <x v="0"/>
  </r>
  <r>
    <n v="56"/>
    <s v="Week 18"/>
    <n v="18"/>
    <d v="1900-01-03T22:09:24"/>
    <d v="1899-12-30T01:56:12"/>
    <x v="2"/>
    <n v="27"/>
    <s v="changes"/>
    <s v="Portfolio Credit Risk"/>
    <n v="8"/>
    <n v="2"/>
    <n v="3"/>
    <n v="4"/>
    <n v="4"/>
    <n v="3"/>
    <n v="3"/>
    <x v="46"/>
    <n v="57.605863456860995"/>
    <x v="0"/>
    <x v="0"/>
    <x v="0"/>
    <s v="U"/>
    <s v="U"/>
    <n v="2"/>
    <m/>
    <n v="1.3100436681222707E-2"/>
    <n v="3.3707865168539325E-2"/>
    <n v="6.741573033707865E-2"/>
    <x v="0"/>
    <x v="0"/>
  </r>
  <r>
    <n v="57"/>
    <s v="Week 18"/>
    <n v="18"/>
    <d v="1900-01-04T02:24:58"/>
    <d v="1899-12-30T04:15:34"/>
    <x v="2"/>
    <n v="38"/>
    <s v="changes"/>
    <s v="Structured Credit Risk"/>
    <n v="13"/>
    <n v="4"/>
    <n v="2"/>
    <n v="4"/>
    <n v="4"/>
    <n v="4"/>
    <n v="3"/>
    <x v="47"/>
    <n v="59.68250442847004"/>
    <x v="0"/>
    <x v="0"/>
    <x v="0"/>
    <s v="U"/>
    <s v="U"/>
    <n v="3"/>
    <m/>
    <n v="1.7467248908296942E-2"/>
    <n v="4.49438202247191E-2"/>
    <n v="0.1348314606741573"/>
    <x v="0"/>
    <x v="0"/>
  </r>
  <r>
    <n v="58"/>
    <s v="Week 19"/>
    <n v="19"/>
    <d v="1900-01-04T05:24:58"/>
    <d v="1899-12-30T03:00:00"/>
    <x v="2"/>
    <n v="24"/>
    <s v="New"/>
    <s v="Country Risk-Determinants, Measures, and Implications"/>
    <n v="7"/>
    <n v="3"/>
    <n v="2"/>
    <n v="3"/>
    <n v="4"/>
    <n v="4"/>
    <n v="3"/>
    <x v="25"/>
    <n v="61.145118390474572"/>
    <x v="0"/>
    <x v="0"/>
    <x v="0"/>
    <s v="U"/>
    <s v="U"/>
    <n v="3"/>
    <m/>
    <n v="1.1235955056179775E-2"/>
    <n v="4.49438202247191E-2"/>
    <n v="0.1348314606741573"/>
    <x v="0"/>
    <x v="0"/>
  </r>
  <r>
    <n v="59"/>
    <s v="Week 19"/>
    <n v="19"/>
    <d v="1900-01-04T08:24:58"/>
    <d v="1899-12-30T03:00:00"/>
    <x v="2"/>
    <n v="34"/>
    <s v="New"/>
    <s v="Central Clearing"/>
    <n v="10"/>
    <n v="3"/>
    <n v="2"/>
    <n v="3"/>
    <n v="4"/>
    <n v="4"/>
    <n v="3"/>
    <x v="25"/>
    <n v="62.607732352479118"/>
    <x v="0"/>
    <x v="0"/>
    <x v="0"/>
    <s v="U"/>
    <s v="U"/>
    <n v="3"/>
    <m/>
    <n v="1.7467248908296942E-2"/>
    <n v="4.49438202247191E-2"/>
    <n v="0.1348314606741573"/>
    <x v="0"/>
    <x v="0"/>
  </r>
  <r>
    <n v="60"/>
    <s v="Week 20"/>
    <n v="20"/>
    <d v="1900-01-04T11:35:37"/>
    <d v="1899-12-30T03:10:39"/>
    <x v="4"/>
    <n v="60"/>
    <s v="Same"/>
    <s v="Capital Regulation Before the Global Financial Crisis"/>
    <n v="8"/>
    <n v="4"/>
    <n v="2"/>
    <n v="3"/>
    <n v="3"/>
    <n v="4"/>
    <n v="4"/>
    <x v="48"/>
    <n v="64.1568843072356"/>
    <x v="0"/>
    <x v="0"/>
    <x v="0"/>
    <s v="U"/>
    <s v="U"/>
    <n v="2"/>
    <m/>
    <n v="1.7467248908296942E-2"/>
    <n v="5.5555555555555552E-2"/>
    <n v="0.1111111111111111"/>
    <x v="0"/>
    <x v="0"/>
  </r>
  <r>
    <n v="61"/>
    <s v="Week 20"/>
    <n v="20"/>
    <d v="1900-01-04T13:46:23"/>
    <d v="1899-12-30T02:10:46"/>
    <x v="4"/>
    <n v="57"/>
    <s v="Same"/>
    <s v="Risk Capital Attribution and Risk-Adjusted Performance Measurement"/>
    <n v="8"/>
    <n v="3"/>
    <n v="2"/>
    <n v="3"/>
    <n v="3"/>
    <n v="5"/>
    <n v="4"/>
    <x v="49"/>
    <n v="65.219446265188139"/>
    <x v="0"/>
    <x v="0"/>
    <x v="0"/>
    <s v="U"/>
    <s v="U"/>
    <n v="3"/>
    <m/>
    <n v="2.1834061135371178E-2"/>
    <n v="6.9444444444444448E-2"/>
    <n v="0.20833333333333334"/>
    <x v="0"/>
    <x v="0"/>
  </r>
  <r>
    <n v="62"/>
    <s v="Week 20"/>
    <n v="20"/>
    <d v="1900-01-04T14:28:15"/>
    <d v="1899-12-30T00:41:52"/>
    <x v="4"/>
    <n v="51"/>
    <s v="Same"/>
    <s v="Guidance on Managing Outsourcing Risk"/>
    <n v="3"/>
    <n v="2"/>
    <n v="1"/>
    <n v="2"/>
    <n v="2"/>
    <n v="3"/>
    <n v="3"/>
    <x v="50"/>
    <n v="65.559639438572916"/>
    <x v="0"/>
    <x v="0"/>
    <x v="0"/>
    <s v="U"/>
    <s v="U"/>
    <n v="3"/>
    <m/>
    <n v="1.3100436681222707E-2"/>
    <n v="4.1666666666666664E-2"/>
    <n v="0.125"/>
    <x v="0"/>
    <x v="0"/>
  </r>
  <r>
    <n v="63"/>
    <s v="Week 20"/>
    <n v="20"/>
    <d v="1900-01-04T15:14:42"/>
    <d v="1899-12-30T00:46:27"/>
    <x v="4"/>
    <n v="52"/>
    <s v="changes"/>
    <s v="Case Study-Third-Party Risk Management"/>
    <n v="2"/>
    <n v="2"/>
    <n v="1"/>
    <n v="2"/>
    <n v="2"/>
    <n v="2"/>
    <n v="2"/>
    <x v="51"/>
    <n v="65.9370750971013"/>
    <x v="0"/>
    <x v="0"/>
    <x v="0"/>
    <s v="U"/>
    <s v="U"/>
    <n v="3"/>
    <m/>
    <n v="8.7336244541484712E-3"/>
    <n v="2.7777777777777776E-2"/>
    <n v="8.3333333333333329E-2"/>
    <x v="0"/>
    <x v="0"/>
  </r>
  <r>
    <n v="64"/>
    <s v="Week 21"/>
    <n v="21"/>
    <d v="1900-01-04T17:52:47"/>
    <d v="1899-12-30T02:38:05"/>
    <x v="3"/>
    <n v="67"/>
    <s v="Same"/>
    <s v="The Investment Function in Financial-Services Management"/>
    <n v="3"/>
    <n v="4"/>
    <n v="2"/>
    <n v="3"/>
    <n v="4"/>
    <n v="4"/>
    <n v="4"/>
    <x v="52"/>
    <n v="67.221602266509933"/>
    <x v="0"/>
    <x v="0"/>
    <x v="0"/>
    <s v="U"/>
    <s v="U"/>
    <n v="3"/>
    <m/>
    <n v="1.7467248908296942E-2"/>
    <n v="5.9701492537313432E-2"/>
    <n v="0.17910447761194029"/>
    <x v="0"/>
    <x v="0"/>
  </r>
  <r>
    <n v="65"/>
    <s v="Week 21"/>
    <n v="21"/>
    <d v="1900-01-04T20:37:28"/>
    <d v="1899-12-30T02:44:41"/>
    <x v="3"/>
    <n v="68"/>
    <s v="Same"/>
    <s v="Liquidity and Reserves Management-Strategies and Policies"/>
    <n v="5"/>
    <n v="4"/>
    <n v="2"/>
    <n v="4"/>
    <n v="4"/>
    <n v="3"/>
    <n v="4"/>
    <x v="53"/>
    <n v="68.559758614525364"/>
    <x v="0"/>
    <x v="0"/>
    <x v="0"/>
    <s v="U"/>
    <s v="U"/>
    <n v="3"/>
    <m/>
    <n v="1.3100436681222707E-2"/>
    <n v="4.4776119402985072E-2"/>
    <n v="0.13432835820895522"/>
    <x v="0"/>
    <x v="0"/>
  </r>
  <r>
    <n v="66"/>
    <s v="Week 21"/>
    <n v="21"/>
    <d v="1900-01-04T22:18:25"/>
    <d v="1899-12-30T01:40:57"/>
    <x v="3"/>
    <n v="69"/>
    <s v="Same"/>
    <s v="Intraday Liquidity Risk Management"/>
    <n v="3"/>
    <n v="3"/>
    <n v="1"/>
    <n v="3"/>
    <n v="3"/>
    <n v="3"/>
    <n v="3"/>
    <x v="54"/>
    <n v="69.380041278216254"/>
    <x v="0"/>
    <x v="0"/>
    <x v="0"/>
    <s v="U"/>
    <s v="U"/>
    <n v="2"/>
    <m/>
    <n v="1.3100436681222707E-2"/>
    <n v="4.4776119402985072E-2"/>
    <n v="8.9552238805970144E-2"/>
    <x v="0"/>
    <x v="0"/>
  </r>
  <r>
    <n v="67"/>
    <s v="Week 22"/>
    <n v="22"/>
    <d v="1900-01-05T00:18:27"/>
    <d v="1899-12-30T02:00:02"/>
    <x v="3"/>
    <n v="70"/>
    <s v="Same"/>
    <s v="Monitoring Liquidity"/>
    <n v="5"/>
    <n v="3"/>
    <n v="2"/>
    <n v="3"/>
    <n v="4"/>
    <n v="3"/>
    <n v="3"/>
    <x v="55"/>
    <n v="70.355388107323364"/>
    <x v="0"/>
    <x v="0"/>
    <x v="0"/>
    <s v="U"/>
    <s v="U"/>
    <n v="2"/>
    <m/>
    <n v="8.4269662921348312E-3"/>
    <n v="4.4776119402985072E-2"/>
    <n v="8.9552238805970144E-2"/>
    <x v="0"/>
    <x v="0"/>
  </r>
  <r>
    <n v="68"/>
    <s v="Week 22"/>
    <n v="22"/>
    <d v="1900-01-05T01:10:11"/>
    <d v="1899-12-30T00:51:44"/>
    <x v="4"/>
    <n v="58"/>
    <s v="Same"/>
    <s v="Range of Practices and Issues in Economic Capital Frameworks"/>
    <n v="4"/>
    <n v="3"/>
    <n v="1"/>
    <n v="2"/>
    <n v="2"/>
    <n v="3"/>
    <n v="3"/>
    <x v="56"/>
    <n v="70.775754194180948"/>
    <x v="0"/>
    <x v="0"/>
    <x v="0"/>
    <s v="U"/>
    <s v="U"/>
    <n v="2"/>
    <m/>
    <n v="1.3100436681222707E-2"/>
    <n v="4.1666666666666664E-2"/>
    <n v="8.3333333333333329E-2"/>
    <x v="0"/>
    <x v="0"/>
  </r>
  <r>
    <n v="69"/>
    <s v="Week 22"/>
    <n v="22"/>
    <d v="1900-01-05T02:32:54"/>
    <d v="1899-12-30T01:22:43"/>
    <x v="4"/>
    <n v="59"/>
    <s v="Same"/>
    <s v="Capital Planning at Large Bank Holding Companies-Supervisory Expectations and Range of Current Practice"/>
    <n v="2"/>
    <n v="3"/>
    <n v="1"/>
    <n v="3"/>
    <n v="3"/>
    <n v="3"/>
    <n v="3"/>
    <x v="57"/>
    <n v="71.447879480609515"/>
    <x v="0"/>
    <x v="0"/>
    <x v="0"/>
    <s v="U"/>
    <s v="U"/>
    <n v="2"/>
    <m/>
    <n v="1.3100436681222707E-2"/>
    <n v="4.1666666666666664E-2"/>
    <n v="8.3333333333333329E-2"/>
    <x v="0"/>
    <x v="0"/>
  </r>
  <r>
    <n v="70"/>
    <s v="Week 22"/>
    <n v="22"/>
    <d v="1900-01-05T03:43:40"/>
    <d v="1899-12-30T01:10:46"/>
    <x v="4"/>
    <n v="56"/>
    <s v="Same"/>
    <s v="Stress Testing Banks"/>
    <n v="3"/>
    <n v="2"/>
    <n v="1"/>
    <n v="3"/>
    <n v="3"/>
    <n v="3"/>
    <n v="3"/>
    <x v="58"/>
    <n v="72.022903451227236"/>
    <x v="0"/>
    <x v="0"/>
    <x v="0"/>
    <s v="U"/>
    <s v="U"/>
    <n v="3"/>
    <m/>
    <n v="1.3100436681222707E-2"/>
    <n v="4.1666666666666664E-2"/>
    <n v="0.125"/>
    <x v="0"/>
    <x v="0"/>
  </r>
  <r>
    <n v="71"/>
    <s v="Week 22"/>
    <n v="22"/>
    <d v="1900-01-05T04:41:22"/>
    <d v="1899-12-30T00:57:42"/>
    <x v="4"/>
    <n v="54"/>
    <s v="Same"/>
    <s v="Supervisory Guidance on Model Risk Management"/>
    <n v="4"/>
    <n v="2"/>
    <n v="1"/>
    <n v="2"/>
    <n v="2"/>
    <n v="1"/>
    <n v="2"/>
    <x v="59"/>
    <n v="72.491752482380917"/>
    <x v="0"/>
    <x v="0"/>
    <x v="0"/>
    <s v="U"/>
    <s v="U"/>
    <n v="3"/>
    <m/>
    <n v="2.8089887640449437E-3"/>
    <n v="1.3888888888888888E-2"/>
    <n v="4.1666666666666664E-2"/>
    <x v="0"/>
    <x v="0"/>
  </r>
  <r>
    <n v="72"/>
    <s v="Week 22"/>
    <n v="22"/>
    <d v="1900-01-05T05:11:23"/>
    <d v="1899-12-30T00:30:01"/>
    <x v="4"/>
    <n v="55"/>
    <s v="Same"/>
    <s v="Case Study-Model Risk and Model Validation"/>
    <n v="3"/>
    <n v="2"/>
    <n v="1"/>
    <n v="3"/>
    <n v="3"/>
    <n v="4"/>
    <n v="3"/>
    <x v="60"/>
    <n v="72.735656903267042"/>
    <x v="0"/>
    <x v="0"/>
    <x v="0"/>
    <s v="U"/>
    <s v="U"/>
    <n v="2"/>
    <m/>
    <n v="1.1235955056179775E-2"/>
    <n v="5.5555555555555552E-2"/>
    <n v="0.1111111111111111"/>
    <x v="0"/>
    <x v="0"/>
  </r>
  <r>
    <n v="73"/>
    <s v="Week 23"/>
    <n v="23"/>
    <d v="1900-01-05T06:20:58"/>
    <d v="1899-12-30T01:09:35"/>
    <x v="3"/>
    <n v="71"/>
    <s v="Same"/>
    <s v="The Failure Mechanics of Dealer Banks"/>
    <n v="3"/>
    <n v="3"/>
    <n v="1"/>
    <n v="3"/>
    <n v="3"/>
    <n v="3"/>
    <n v="3"/>
    <x v="61"/>
    <n v="73.301065541356763"/>
    <x v="0"/>
    <x v="0"/>
    <x v="0"/>
    <s v="U"/>
    <s v="U"/>
    <n v="3"/>
    <m/>
    <n v="8.4269662921348312E-3"/>
    <n v="4.4776119402985072E-2"/>
    <n v="0.13432835820895522"/>
    <x v="0"/>
    <x v="0"/>
  </r>
  <r>
    <n v="74"/>
    <s v="Week 23"/>
    <n v="23"/>
    <d v="1900-01-05T07:45:37"/>
    <d v="1899-12-30T01:24:39"/>
    <x v="3"/>
    <n v="72"/>
    <s v="Same"/>
    <s v="Liquidity Stress Testing"/>
    <n v="3"/>
    <n v="2"/>
    <n v="1"/>
    <n v="2"/>
    <n v="2"/>
    <n v="3"/>
    <n v="3"/>
    <x v="62"/>
    <n v="73.988900385155006"/>
    <x v="0"/>
    <x v="0"/>
    <x v="0"/>
    <s v="U"/>
    <s v="U"/>
    <n v="2"/>
    <m/>
    <n v="8.4269662921348312E-3"/>
    <n v="4.4776119402985072E-2"/>
    <n v="8.9552238805970144E-2"/>
    <x v="0"/>
    <x v="0"/>
  </r>
  <r>
    <n v="75"/>
    <s v="Week 23"/>
    <n v="23"/>
    <d v="1900-01-05T09:02:33"/>
    <d v="1899-12-30T01:16:56"/>
    <x v="3"/>
    <n v="73"/>
    <s v="Same"/>
    <s v="Liquidity Risk Reporting and Stress Testing"/>
    <n v="3"/>
    <n v="3"/>
    <n v="2"/>
    <n v="3"/>
    <n v="4"/>
    <n v="3"/>
    <n v="3"/>
    <x v="63"/>
    <n v="74.614032426693257"/>
    <x v="0"/>
    <x v="0"/>
    <x v="0"/>
    <s v="U"/>
    <s v="U"/>
    <n v="3"/>
    <m/>
    <n v="8.4269662921348312E-3"/>
    <n v="4.4776119402985072E-2"/>
    <n v="0.13432835820895522"/>
    <x v="0"/>
    <x v="0"/>
  </r>
  <r>
    <n v="76"/>
    <s v="Week 23"/>
    <n v="23"/>
    <d v="1900-01-05T10:38:23"/>
    <d v="1899-12-30T01:35:50"/>
    <x v="3"/>
    <n v="74"/>
    <s v="Same"/>
    <s v="Contingency Funding Planning"/>
    <n v="3"/>
    <n v="3"/>
    <n v="1"/>
    <n v="3"/>
    <n v="3"/>
    <n v="3"/>
    <n v="3"/>
    <x v="64"/>
    <n v="75.392738934241962"/>
    <x v="0"/>
    <x v="0"/>
    <x v="0"/>
    <s v="U"/>
    <s v="U"/>
    <n v="3"/>
    <m/>
    <n v="8.4269662921348312E-3"/>
    <n v="4.4776119402985072E-2"/>
    <n v="0.13432835820895522"/>
    <x v="0"/>
    <x v="0"/>
  </r>
  <r>
    <n v="77"/>
    <s v="Week 24"/>
    <n v="24"/>
    <d v="1900-01-05T12:56:56"/>
    <d v="1899-12-30T02:18:33"/>
    <x v="3"/>
    <n v="75"/>
    <s v="Same"/>
    <s v="Managing and Pricing Deposit Services"/>
    <n v="3"/>
    <n v="3"/>
    <n v="2"/>
    <n v="3"/>
    <n v="4"/>
    <n v="3"/>
    <n v="3"/>
    <x v="65"/>
    <n v="76.518545403329341"/>
    <x v="0"/>
    <x v="0"/>
    <x v="0"/>
    <s v="U"/>
    <s v="U"/>
    <n v="2"/>
    <m/>
    <n v="8.4269662921348312E-3"/>
    <n v="4.4776119402985072E-2"/>
    <n v="8.9552238805970144E-2"/>
    <x v="0"/>
    <x v="0"/>
  </r>
  <r>
    <n v="78"/>
    <s v="Week 24"/>
    <n v="24"/>
    <d v="1900-01-05T14:14:51"/>
    <d v="1899-12-30T01:17:55"/>
    <x v="3"/>
    <n v="76"/>
    <s v="Same"/>
    <s v="Managing Non-deposit Liabilities"/>
    <n v="4"/>
    <n v="2"/>
    <n v="3"/>
    <n v="3"/>
    <n v="4"/>
    <n v="3"/>
    <n v="3"/>
    <x v="66"/>
    <n v="77.151667650771131"/>
    <x v="0"/>
    <x v="0"/>
    <x v="0"/>
    <s v="U"/>
    <s v="U"/>
    <n v="3"/>
    <m/>
    <n v="8.4269662921348312E-3"/>
    <n v="4.4776119402985072E-2"/>
    <n v="0.13432835820895522"/>
    <x v="0"/>
    <x v="0"/>
  </r>
  <r>
    <n v="79"/>
    <s v="Week 24"/>
    <n v="24"/>
    <d v="1900-01-05T14:40:06"/>
    <d v="1899-12-30T00:25:15"/>
    <x v="4"/>
    <n v="62"/>
    <s v="Same"/>
    <s v="High-Level Summary of Basel III Reforms"/>
    <n v="3"/>
    <n v="2"/>
    <n v="1"/>
    <n v="3"/>
    <n v="3"/>
    <n v="4"/>
    <n v="3"/>
    <x v="67"/>
    <n v="77.356839887107881"/>
    <x v="0"/>
    <x v="0"/>
    <x v="0"/>
    <s v="U"/>
    <s v="U"/>
    <n v="2"/>
    <m/>
    <n v="1.1235955056179775E-2"/>
    <n v="5.5555555555555552E-2"/>
    <n v="0.1111111111111111"/>
    <x v="0"/>
    <x v="0"/>
  </r>
  <r>
    <n v="80"/>
    <s v="Week 24"/>
    <n v="24"/>
    <d v="1900-01-05T15:49:17"/>
    <d v="1899-12-30T01:09:11"/>
    <x v="4"/>
    <n v="63"/>
    <s v="Same"/>
    <s v="Basel III-Finalising Post-Crisis Reforms"/>
    <n v="3"/>
    <n v="2"/>
    <n v="2"/>
    <n v="4"/>
    <n v="4"/>
    <n v="4"/>
    <n v="4"/>
    <x v="68"/>
    <n v="77.918998271948695"/>
    <x v="0"/>
    <x v="0"/>
    <x v="0"/>
    <s v="U"/>
    <s v="U"/>
    <n v="2"/>
    <m/>
    <n v="1.1235955056179775E-2"/>
    <n v="5.5555555555555552E-2"/>
    <n v="0.1111111111111111"/>
    <x v="0"/>
    <x v="0"/>
  </r>
  <r>
    <n v="81"/>
    <s v="Week 31"/>
    <n v="31"/>
    <d v="1900-01-07T13:06:44"/>
    <d v="1899-12-30T01:43:14"/>
    <x v="4"/>
    <n v="61"/>
    <s v="Same"/>
    <s v="Solvency, Liquidity, and Other Regulation After the Global Financial Crisis"/>
    <n v="8"/>
    <n v="3"/>
    <n v="2"/>
    <n v="3"/>
    <n v="4"/>
    <n v="5"/>
    <n v="4"/>
    <x v="69"/>
    <n v="78.757834464602041"/>
    <x v="0"/>
    <x v="0"/>
    <x v="0"/>
    <s v="U"/>
    <s v="U"/>
    <n v="3"/>
    <m/>
    <n v="1.4044943820224719E-2"/>
    <n v="6.9444444444444448E-2"/>
    <n v="0.20833333333333334"/>
    <x v="0"/>
    <x v="0"/>
  </r>
  <r>
    <n v="82"/>
    <s v="Week 24"/>
    <n v="24"/>
    <d v="1900-01-05T18:59:37"/>
    <d v="1899-12-30T01:27:06"/>
    <x v="3"/>
    <n v="77"/>
    <s v="Same"/>
    <s v="Repurchase Agreements and Financing"/>
    <n v="7"/>
    <n v="3"/>
    <n v="2"/>
    <n v="3"/>
    <n v="3"/>
    <n v="4"/>
    <n v="3"/>
    <x v="70"/>
    <n v="79.465577109549784"/>
    <x v="0"/>
    <x v="0"/>
    <x v="0"/>
    <s v="U"/>
    <s v="U"/>
    <n v="3"/>
    <m/>
    <n v="1.1235955056179775E-2"/>
    <n v="5.9701492537313432E-2"/>
    <n v="0.17910447761194029"/>
    <x v="0"/>
    <x v="0"/>
  </r>
  <r>
    <n v="83"/>
    <s v="Week 25"/>
    <n v="25"/>
    <d v="1900-01-05T21:12:12"/>
    <d v="1899-12-30T02:12:35"/>
    <x v="3"/>
    <n v="78"/>
    <s v="Same"/>
    <s v="Liquidity Transfer Pricing-A Guide to Better Practice"/>
    <n v="4"/>
    <n v="4"/>
    <n v="2"/>
    <n v="3"/>
    <n v="4"/>
    <n v="4"/>
    <n v="3"/>
    <x v="71"/>
    <n v="80.542900634341095"/>
    <x v="0"/>
    <x v="0"/>
    <x v="0"/>
    <s v="U"/>
    <s v="U"/>
    <n v="2"/>
    <m/>
    <n v="1.1235955056179775E-2"/>
    <n v="5.9701492537313432E-2"/>
    <n v="0.11940298507462686"/>
    <x v="0"/>
    <x v="0"/>
  </r>
  <r>
    <n v="84"/>
    <s v="Week 25"/>
    <n v="25"/>
    <d v="1900-01-05T22:16:31"/>
    <d v="1899-12-30T01:04:19"/>
    <x v="3"/>
    <n v="79"/>
    <s v="Same"/>
    <s v="The US Dollar Shortage in Global Banking and the International Policy Response"/>
    <n v="3"/>
    <n v="2"/>
    <n v="1"/>
    <n v="2"/>
    <n v="3"/>
    <n v="3"/>
    <n v="3"/>
    <x v="72"/>
    <n v="81.065514271320311"/>
    <x v="0"/>
    <x v="0"/>
    <x v="0"/>
    <s v="U"/>
    <s v="U"/>
    <n v="2"/>
    <m/>
    <n v="8.4269662921348312E-3"/>
    <n v="4.4776119402985072E-2"/>
    <n v="8.9552238805970144E-2"/>
    <x v="0"/>
    <x v="0"/>
  </r>
  <r>
    <n v="85"/>
    <s v="Week 25"/>
    <n v="25"/>
    <d v="1900-01-05T22:52:17"/>
    <d v="1899-12-30T00:35:46"/>
    <x v="3"/>
    <n v="80"/>
    <s v="Same"/>
    <s v="Covered Interest Parity Lost-Understanding the Cross-Currency Basis"/>
    <n v="3"/>
    <n v="1"/>
    <n v="2"/>
    <n v="2"/>
    <n v="4"/>
    <n v="4"/>
    <n v="4"/>
    <x v="73"/>
    <n v="81.356141082659363"/>
    <x v="0"/>
    <x v="0"/>
    <x v="0"/>
    <s v="U"/>
    <s v="U"/>
    <n v="3"/>
    <m/>
    <n v="1.1235955056179775E-2"/>
    <n v="5.9701492537313432E-2"/>
    <n v="0.17910447761194029"/>
    <x v="0"/>
    <x v="0"/>
  </r>
  <r>
    <n v="86"/>
    <s v="Week 25"/>
    <n v="25"/>
    <d v="1900-01-06T00:34:05"/>
    <d v="1899-12-30T01:41:48"/>
    <x v="3"/>
    <n v="81"/>
    <s v="Same"/>
    <s v="Risk Management for Changing Interest Rates-Asset-Liability Management and Duration Techniques"/>
    <n v="4"/>
    <n v="3"/>
    <n v="3"/>
    <n v="3"/>
    <n v="4"/>
    <n v="5"/>
    <n v="4"/>
    <x v="74"/>
    <n v="82.183330534504151"/>
    <x v="0"/>
    <x v="0"/>
    <x v="0"/>
    <s v="U"/>
    <s v="U"/>
    <n v="3"/>
    <m/>
    <n v="1.4044943820224719E-2"/>
    <n v="7.4626865671641784E-2"/>
    <n v="0.22388059701492535"/>
    <x v="0"/>
    <x v="0"/>
  </r>
  <r>
    <n v="87"/>
    <s v="Week 26"/>
    <n v="26"/>
    <d v="1900-01-06T02:20:56"/>
    <d v="1899-12-30T01:46:51"/>
    <x v="3"/>
    <n v="82"/>
    <s v="Same"/>
    <s v="Illiquid Assets"/>
    <n v="6"/>
    <n v="3"/>
    <n v="1"/>
    <n v="3"/>
    <n v="3"/>
    <n v="4"/>
    <n v="3"/>
    <x v="75"/>
    <n v="83.051554433616275"/>
    <x v="0"/>
    <x v="0"/>
    <x v="0"/>
    <s v="U"/>
    <s v="U"/>
    <n v="2"/>
    <m/>
    <n v="1.1235955056179775E-2"/>
    <n v="5.9701492537313432E-2"/>
    <n v="0.11940298507462686"/>
    <x v="0"/>
    <x v="0"/>
  </r>
  <r>
    <n v="88"/>
    <s v="Week 26"/>
    <n v="26"/>
    <d v="1900-01-06T03:36:03"/>
    <d v="1899-12-30T01:15:07"/>
    <x v="4"/>
    <n v="49"/>
    <s v="Same"/>
    <s v="Sound Management of Risks related to Money Laundering and Financing of Terrorism"/>
    <n v="3"/>
    <n v="1"/>
    <n v="1"/>
    <n v="2"/>
    <n v="2"/>
    <n v="2"/>
    <n v="2"/>
    <x v="76"/>
    <n v="83.661924908315783"/>
    <x v="0"/>
    <x v="0"/>
    <x v="0"/>
    <s v="U"/>
    <s v="U"/>
    <n v="3"/>
    <m/>
    <n v="5.6179775280898875E-3"/>
    <n v="2.7777777777777776E-2"/>
    <n v="8.3333333333333329E-2"/>
    <x v="0"/>
    <x v="0"/>
  </r>
  <r>
    <n v="89"/>
    <s v="Week 26"/>
    <n v="26"/>
    <d v="1900-01-06T04:52:11"/>
    <d v="1899-12-30T01:16:08"/>
    <x v="4"/>
    <n v="50"/>
    <s v="Same"/>
    <s v="Case Study-Financial Crime and Fraud"/>
    <n v="2"/>
    <n v="2"/>
    <n v="1"/>
    <n v="3"/>
    <n v="2"/>
    <n v="3"/>
    <n v="2"/>
    <x v="77"/>
    <n v="84.280556443356218"/>
    <x v="0"/>
    <x v="0"/>
    <x v="0"/>
    <s v="U"/>
    <s v="U"/>
    <n v="3"/>
    <m/>
    <n v="8.4269662921348312E-3"/>
    <n v="4.1666666666666664E-2"/>
    <n v="0.125"/>
    <x v="0"/>
    <x v="0"/>
  </r>
  <r>
    <n v="90"/>
    <s v="Week 31"/>
    <n v="31"/>
    <d v="1900-01-07T13:06:44"/>
    <d v="1899-12-30T02:59:48"/>
    <x v="5"/>
    <n v="99"/>
    <s v="Same"/>
    <s v="Climate-Related Risk Drivers and their Transmission Channels"/>
    <n v="4"/>
    <n v="3"/>
    <n v="1"/>
    <n v="2"/>
    <n v="3"/>
    <n v="3"/>
    <n v="3"/>
    <x v="78"/>
    <n v="85.741545278736311"/>
    <x v="0"/>
    <x v="0"/>
    <x v="0"/>
    <s v="U"/>
    <s v="U"/>
    <n v="3"/>
    <m/>
    <n v="8.4269662921348312E-3"/>
    <n v="0.1"/>
    <n v="0.30000000000000004"/>
    <x v="0"/>
    <x v="0"/>
  </r>
  <r>
    <n v="91"/>
    <s v="Week 27"/>
    <n v="27"/>
    <d v="1900-01-06T10:15:56"/>
    <d v="1899-12-30T02:23:57"/>
    <x v="5"/>
    <n v="100"/>
    <s v="Same"/>
    <s v="Climate-Related Financial Risks-Measurement Methodologies"/>
    <n v="6"/>
    <n v="3"/>
    <n v="1"/>
    <n v="2"/>
    <n v="3"/>
    <n v="3"/>
    <n v="3"/>
    <x v="79"/>
    <n v="86.911230166683822"/>
    <x v="0"/>
    <x v="0"/>
    <x v="0"/>
    <s v="U"/>
    <s v="U"/>
    <n v="3"/>
    <m/>
    <n v="8.4269662921348312E-3"/>
    <n v="0.1"/>
    <n v="0.30000000000000004"/>
    <x v="0"/>
    <x v="0"/>
  </r>
  <r>
    <n v="92"/>
    <s v="Week 27"/>
    <n v="27"/>
    <d v="1900-01-06T11:27:34"/>
    <d v="1899-12-30T01:11:38"/>
    <x v="5"/>
    <n v="101"/>
    <s v="changes"/>
    <s v="Principles for the Effective Management and Supervision of Climate-Related Financial Risks"/>
    <n v="4"/>
    <n v="3"/>
    <n v="1"/>
    <n v="2"/>
    <n v="2"/>
    <n v="3"/>
    <n v="2"/>
    <x v="80"/>
    <n v="87.49329635267415"/>
    <x v="0"/>
    <x v="0"/>
    <x v="0"/>
    <s v="U"/>
    <s v="U"/>
    <n v="3"/>
    <m/>
    <n v="8.4269662921348312E-3"/>
    <n v="0.1"/>
    <n v="0.30000000000000004"/>
    <x v="0"/>
    <x v="0"/>
  </r>
  <r>
    <n v="93"/>
    <s v="Week 27"/>
    <n v="27"/>
    <d v="1900-01-06T12:59:45"/>
    <d v="1899-12-30T01:32:11"/>
    <x v="4"/>
    <n v="40"/>
    <s v="Same"/>
    <s v="Introduction to Operational Risk and Resilience"/>
    <n v="4"/>
    <n v="4"/>
    <n v="1"/>
    <n v="2"/>
    <n v="3"/>
    <n v="2"/>
    <n v="3"/>
    <x v="81"/>
    <n v="88.24234429932666"/>
    <x v="0"/>
    <x v="0"/>
    <x v="0"/>
    <s v="U"/>
    <s v="U"/>
    <n v="3"/>
    <m/>
    <n v="5.6179775280898875E-3"/>
    <n v="2.7777777777777776E-2"/>
    <n v="8.3333333333333329E-2"/>
    <x v="0"/>
    <x v="0"/>
  </r>
  <r>
    <n v="94"/>
    <s v="Week 27"/>
    <n v="27"/>
    <d v="1900-01-06T14:52:19"/>
    <d v="1899-12-30T01:52:34"/>
    <x v="4"/>
    <n v="47"/>
    <s v="Same"/>
    <s v="Cyber-resilience-Range of practices"/>
    <n v="5"/>
    <n v="3"/>
    <n v="1"/>
    <n v="2"/>
    <n v="2"/>
    <n v="2"/>
    <n v="3"/>
    <x v="82"/>
    <n v="89.157019734454309"/>
    <x v="0"/>
    <x v="0"/>
    <x v="0"/>
    <s v="U"/>
    <s v="U"/>
    <n v="2"/>
    <m/>
    <n v="5.6179775280898875E-3"/>
    <n v="2.7777777777777776E-2"/>
    <n v="5.5555555555555552E-2"/>
    <x v="0"/>
    <x v="0"/>
  </r>
  <r>
    <n v="95"/>
    <s v="Week 27"/>
    <n v="27"/>
    <d v="1900-01-06T15:33:18"/>
    <d v="1899-12-30T00:40:59"/>
    <x v="4"/>
    <n v="48"/>
    <s v="Same"/>
    <s v="Case Study-Cyberthreats and Information Security Risks"/>
    <n v="2"/>
    <n v="2"/>
    <n v="1"/>
    <n v="2"/>
    <n v="2"/>
    <n v="2"/>
    <n v="2"/>
    <x v="83"/>
    <n v="89.490035265247755"/>
    <x v="0"/>
    <x v="0"/>
    <x v="0"/>
    <s v="U"/>
    <s v="U"/>
    <n v="3"/>
    <m/>
    <n v="5.6179775280898875E-3"/>
    <n v="2.7777777777777776E-2"/>
    <n v="8.3333333333333329E-2"/>
    <x v="0"/>
    <x v="0"/>
  </r>
  <r>
    <n v="96"/>
    <s v="Week 31"/>
    <n v="31"/>
    <d v="1900-01-07T13:06:44"/>
    <d v="1899-12-30T00:33:26"/>
    <x v="4"/>
    <n v="53"/>
    <s v="Same"/>
    <s v="Case Study-Investor Protection and Compliance Risks in Investment Activities"/>
    <n v="2"/>
    <n v="2"/>
    <n v="1"/>
    <n v="3"/>
    <n v="2"/>
    <n v="2"/>
    <n v="2"/>
    <x v="84"/>
    <n v="89.761702265968225"/>
    <x v="0"/>
    <x v="0"/>
    <x v="0"/>
    <s v="U"/>
    <s v="U"/>
    <n v="3"/>
    <m/>
    <n v="5.6179775280898875E-3"/>
    <n v="2.7777777777777776E-2"/>
    <n v="8.3333333333333329E-2"/>
    <x v="0"/>
    <x v="0"/>
  </r>
  <r>
    <n v="97"/>
    <s v="Week 28"/>
    <n v="28"/>
    <d v="1900-01-06T19:06:44"/>
    <d v="1899-12-30T03:00:00"/>
    <x v="5"/>
    <n v="94"/>
    <s v="New"/>
    <s v="Review of the Federal Reserves Supervision and Regulation of Silicon Valley Bank"/>
    <n v="6"/>
    <n v="4"/>
    <n v="1"/>
    <n v="3"/>
    <n v="2"/>
    <n v="3"/>
    <n v="3"/>
    <x v="25"/>
    <n v="91.224316227972764"/>
    <x v="0"/>
    <x v="0"/>
    <x v="0"/>
    <s v="U"/>
    <s v="U"/>
    <n v="3"/>
    <m/>
    <n v="8.4269662921348312E-3"/>
    <n v="0.1"/>
    <n v="0.30000000000000004"/>
    <x v="0"/>
    <x v="0"/>
  </r>
  <r>
    <n v="98"/>
    <s v="Week 28"/>
    <n v="28"/>
    <d v="1900-01-06T22:06:44"/>
    <d v="1899-12-30T03:00:00"/>
    <x v="5"/>
    <n v="95"/>
    <s v="New"/>
    <s v="The Credit Suisse CoCo Wipeout-Facts, Misperceptions, and Lessons for Financial Regulation"/>
    <n v="4"/>
    <n v="3"/>
    <n v="1"/>
    <n v="3"/>
    <n v="2"/>
    <n v="3"/>
    <n v="2"/>
    <x v="25"/>
    <n v="92.686930189977303"/>
    <x v="0"/>
    <x v="0"/>
    <x v="0"/>
    <s v="U"/>
    <s v="U"/>
    <n v="2"/>
    <m/>
    <n v="8.4269662921348312E-3"/>
    <n v="0.1"/>
    <n v="0.2"/>
    <x v="0"/>
    <x v="0"/>
  </r>
  <r>
    <n v="99"/>
    <s v="Week 29"/>
    <n v="29"/>
    <d v="1900-01-07T01:06:44"/>
    <d v="1899-12-30T03:00:00"/>
    <x v="5"/>
    <n v="96"/>
    <s v="New"/>
    <s v="Artificial Intelligence and Bank Supervision"/>
    <n v="4"/>
    <n v="3"/>
    <n v="1"/>
    <n v="3"/>
    <n v="2"/>
    <n v="3"/>
    <n v="3"/>
    <x v="25"/>
    <n v="94.149544151981843"/>
    <x v="0"/>
    <x v="0"/>
    <x v="0"/>
    <s v="U"/>
    <s v="U"/>
    <n v="3"/>
    <m/>
    <n v="8.4269662921348312E-3"/>
    <n v="0.1"/>
    <n v="0.30000000000000004"/>
    <x v="0"/>
    <x v="0"/>
  </r>
  <r>
    <n v="100"/>
    <s v="Week 29"/>
    <n v="29"/>
    <d v="1900-01-07T04:06:44"/>
    <d v="1899-12-30T03:00:00"/>
    <x v="5"/>
    <n v="97"/>
    <s v="New"/>
    <s v="Financial Risk Management and Explainable, Trustworthy, Responsible AI"/>
    <n v="5"/>
    <n v="3"/>
    <n v="1"/>
    <n v="2"/>
    <n v="2"/>
    <n v="3"/>
    <n v="3"/>
    <x v="25"/>
    <n v="95.612158113986382"/>
    <x v="0"/>
    <x v="0"/>
    <x v="0"/>
    <s v="U"/>
    <s v="U"/>
    <n v="2"/>
    <m/>
    <n v="8.4269662921348312E-3"/>
    <n v="0.1"/>
    <n v="0.2"/>
    <x v="0"/>
    <x v="0"/>
  </r>
  <r>
    <n v="101"/>
    <s v="Week 30"/>
    <n v="30"/>
    <d v="1900-01-07T07:06:44"/>
    <d v="1899-12-30T03:00:00"/>
    <x v="5"/>
    <n v="98"/>
    <s v="New"/>
    <s v="Artificial Intelligence Risk Management Framework"/>
    <n v="5"/>
    <n v="3"/>
    <n v="1"/>
    <n v="3"/>
    <n v="2"/>
    <n v="3"/>
    <n v="3"/>
    <x v="25"/>
    <n v="97.074772075990921"/>
    <x v="0"/>
    <x v="0"/>
    <x v="0"/>
    <s v="U"/>
    <s v="U"/>
    <n v="2"/>
    <m/>
    <n v="8.4269662921348312E-3"/>
    <n v="0.1"/>
    <n v="0.2"/>
    <x v="0"/>
    <x v="0"/>
  </r>
  <r>
    <n v="102"/>
    <s v="Week 30"/>
    <n v="30"/>
    <d v="1900-01-07T10:06:44"/>
    <d v="1899-12-30T03:00:00"/>
    <x v="5"/>
    <n v="102"/>
    <s v="New"/>
    <s v="The Crypto Ecosystem-Key Elements and Risks"/>
    <n v="3"/>
    <n v="2"/>
    <n v="1"/>
    <n v="3"/>
    <n v="2"/>
    <n v="3"/>
    <n v="3"/>
    <x v="25"/>
    <n v="98.537386037995461"/>
    <x v="0"/>
    <x v="0"/>
    <x v="0"/>
    <s v="U"/>
    <s v="U"/>
    <n v="3"/>
    <m/>
    <n v="8.4269662921348312E-3"/>
    <n v="0.1"/>
    <n v="0.30000000000000004"/>
    <x v="0"/>
    <x v="0"/>
  </r>
  <r>
    <n v="103"/>
    <s v="Week 31"/>
    <n v="31"/>
    <d v="1900-01-07T13:06:44"/>
    <d v="1899-12-30T03:00:00"/>
    <x v="5"/>
    <n v="103"/>
    <s v="New"/>
    <s v="Digital Resilience and Financial Stability"/>
    <n v="3"/>
    <n v="2"/>
    <n v="1"/>
    <n v="3"/>
    <n v="2"/>
    <n v="3"/>
    <n v="3"/>
    <x v="25"/>
    <n v="100"/>
    <x v="0"/>
    <x v="0"/>
    <x v="0"/>
    <s v="U"/>
    <s v="U"/>
    <n v="3"/>
    <m/>
    <n v="8.4269662921348312E-3"/>
    <n v="0.1"/>
    <n v="0.30000000000000004"/>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65FB6A1-DD51-482F-84CF-F9DEEB7502F2}" name="PivotTable1"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12">
  <location ref="B77:C79" firstHeaderRow="1" firstDataRow="1" firstDataCol="1"/>
  <pivotFields count="32">
    <pivotField numFmtId="3" showAll="0"/>
    <pivotField showAll="0"/>
    <pivotField numFmtId="3" showAll="0"/>
    <pivotField numFmtId="169" showAll="0"/>
    <pivotField showAll="0"/>
    <pivotField showAll="0">
      <items count="20">
        <item m="1" x="14"/>
        <item m="1" x="15"/>
        <item m="1" x="13"/>
        <item m="1" x="16"/>
        <item x="2"/>
        <item x="5"/>
        <item m="1" x="10"/>
        <item m="1" x="17"/>
        <item m="1" x="11"/>
        <item m="1" x="18"/>
        <item m="1" x="12"/>
        <item m="1" x="8"/>
        <item x="0"/>
        <item x="3"/>
        <item x="1"/>
        <item x="4"/>
        <item m="1" x="7"/>
        <item m="1" x="9"/>
        <item m="1" x="6"/>
        <item t="default"/>
      </items>
    </pivotField>
    <pivotField showAll="0"/>
    <pivotField showAll="0"/>
    <pivotField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axis="axisRow" dataField="1" showAll="0">
      <items count="4">
        <item m="1" x="1"/>
        <item x="0"/>
        <item m="1" x="2"/>
        <item t="default"/>
      </items>
    </pivotField>
    <pivotField showAll="0"/>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18"/>
  </rowFields>
  <rowItems count="2">
    <i>
      <x v="1"/>
    </i>
    <i t="grand">
      <x/>
    </i>
  </rowItems>
  <colItems count="1">
    <i/>
  </colItems>
  <dataFields count="1">
    <dataField name="Count of Lectures" fld="18" subtotal="count" baseField="0" baseItem="0"/>
  </dataFields>
  <formats count="6">
    <format dxfId="83">
      <pivotArea type="all" dataOnly="0" outline="0" fieldPosition="0"/>
    </format>
    <format dxfId="82">
      <pivotArea outline="0" collapsedLevelsAreSubtotals="1" fieldPosition="0"/>
    </format>
    <format dxfId="81">
      <pivotArea field="18" type="button" dataOnly="0" labelOnly="1" outline="0" axis="axisRow" fieldPosition="0"/>
    </format>
    <format dxfId="80">
      <pivotArea dataOnly="0" labelOnly="1" fieldPosition="0">
        <references count="1">
          <reference field="18" count="0"/>
        </references>
      </pivotArea>
    </format>
    <format dxfId="79">
      <pivotArea dataOnly="0" labelOnly="1" grandRow="1" outline="0" fieldPosition="0"/>
    </format>
    <format dxfId="78">
      <pivotArea dataOnly="0" labelOnly="1" outline="0" axis="axisValues" fieldPosition="0"/>
    </format>
  </formats>
  <chartFormats count="11">
    <chartFormat chart="5" format="1" series="1">
      <pivotArea type="data" outline="0" fieldPosition="0">
        <references count="1">
          <reference field="4294967294" count="1" selected="0">
            <x v="0"/>
          </reference>
        </references>
      </pivotArea>
    </chartFormat>
    <chartFormat chart="5" format="2">
      <pivotArea type="data" outline="0" fieldPosition="0">
        <references count="2">
          <reference field="4294967294" count="1" selected="0">
            <x v="0"/>
          </reference>
          <reference field="18" count="1" selected="0">
            <x v="0"/>
          </reference>
        </references>
      </pivotArea>
    </chartFormat>
    <chartFormat chart="5" format="3">
      <pivotArea type="data" outline="0" fieldPosition="0">
        <references count="2">
          <reference field="4294967294" count="1" selected="0">
            <x v="0"/>
          </reference>
          <reference field="18" count="1" selected="0">
            <x v="1"/>
          </reference>
        </references>
      </pivotArea>
    </chartFormat>
    <chartFormat chart="6" format="3" series="1">
      <pivotArea type="data" outline="0" fieldPosition="0">
        <references count="1">
          <reference field="4294967294" count="1" selected="0">
            <x v="0"/>
          </reference>
        </references>
      </pivotArea>
    </chartFormat>
    <chartFormat chart="6" format="4">
      <pivotArea type="data" outline="0" fieldPosition="0">
        <references count="2">
          <reference field="4294967294" count="1" selected="0">
            <x v="0"/>
          </reference>
          <reference field="18" count="1" selected="0">
            <x v="0"/>
          </reference>
        </references>
      </pivotArea>
    </chartFormat>
    <chartFormat chart="7" format="5" series="1">
      <pivotArea type="data" outline="0" fieldPosition="0">
        <references count="1">
          <reference field="4294967294" count="1" selected="0">
            <x v="0"/>
          </reference>
        </references>
      </pivotArea>
    </chartFormat>
    <chartFormat chart="7" format="6">
      <pivotArea type="data" outline="0" fieldPosition="0">
        <references count="2">
          <reference field="4294967294" count="1" selected="0">
            <x v="0"/>
          </reference>
          <reference field="18" count="1" selected="0">
            <x v="0"/>
          </reference>
        </references>
      </pivotArea>
    </chartFormat>
    <chartFormat chart="8" format="5" series="1">
      <pivotArea type="data" outline="0" fieldPosition="0">
        <references count="1">
          <reference field="4294967294" count="1" selected="0">
            <x v="0"/>
          </reference>
        </references>
      </pivotArea>
    </chartFormat>
    <chartFormat chart="8" format="6">
      <pivotArea type="data" outline="0" fieldPosition="0">
        <references count="2">
          <reference field="4294967294" count="1" selected="0">
            <x v="0"/>
          </reference>
          <reference field="18" count="1" selected="0">
            <x v="0"/>
          </reference>
        </references>
      </pivotArea>
    </chartFormat>
    <chartFormat chart="8" format="7">
      <pivotArea type="data" outline="0" fieldPosition="0">
        <references count="2">
          <reference field="4294967294" count="1" selected="0">
            <x v="0"/>
          </reference>
          <reference field="18" count="1" selected="0">
            <x v="1"/>
          </reference>
        </references>
      </pivotArea>
    </chartFormat>
    <chartFormat chart="8" format="8">
      <pivotArea type="data" outline="0" fieldPosition="0">
        <references count="2">
          <reference field="4294967294" count="1" selected="0">
            <x v="0"/>
          </reference>
          <reference field="1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61A9A48-8BA7-4B3F-969E-177D84BB225A}" name="PivotTable2"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2:C84" firstHeaderRow="1" firstDataRow="1" firstDataCol="1"/>
  <pivotFields count="32">
    <pivotField numFmtId="3" showAll="0"/>
    <pivotField showAll="0"/>
    <pivotField numFmtId="3" showAll="0"/>
    <pivotField numFmtId="169" showAll="0"/>
    <pivotField showAll="0"/>
    <pivotField showAll="0">
      <items count="20">
        <item m="1" x="14"/>
        <item m="1" x="15"/>
        <item m="1" x="13"/>
        <item m="1" x="16"/>
        <item x="2"/>
        <item x="5"/>
        <item m="1" x="10"/>
        <item m="1" x="17"/>
        <item m="1" x="11"/>
        <item m="1" x="18"/>
        <item m="1" x="12"/>
        <item m="1" x="8"/>
        <item x="0"/>
        <item x="3"/>
        <item x="1"/>
        <item x="4"/>
        <item m="1" x="7"/>
        <item m="1" x="9"/>
        <item m="1" x="6"/>
        <item t="default"/>
      </items>
    </pivotField>
    <pivotField showAll="0"/>
    <pivotField showAll="0"/>
    <pivotField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axis="axisRow" dataField="1" showAll="0">
      <items count="4">
        <item m="1" x="1"/>
        <item x="0"/>
        <item m="1" x="2"/>
        <item t="default"/>
      </items>
    </pivotField>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19"/>
  </rowFields>
  <rowItems count="2">
    <i>
      <x v="1"/>
    </i>
    <i t="grand">
      <x/>
    </i>
  </rowItems>
  <colItems count="1">
    <i/>
  </colItems>
  <dataFields count="1">
    <dataField name="Count of Self Study" fld="19" subtotal="count" baseField="0" baseItem="0"/>
  </dataFields>
  <formats count="6">
    <format dxfId="89">
      <pivotArea type="all" dataOnly="0" outline="0" fieldPosition="0"/>
    </format>
    <format dxfId="88">
      <pivotArea outline="0" collapsedLevelsAreSubtotals="1" fieldPosition="0"/>
    </format>
    <format dxfId="87">
      <pivotArea field="19" type="button" dataOnly="0" labelOnly="1" outline="0" axis="axisRow" fieldPosition="0"/>
    </format>
    <format dxfId="86">
      <pivotArea dataOnly="0" labelOnly="1" fieldPosition="0">
        <references count="1">
          <reference field="19" count="0"/>
        </references>
      </pivotArea>
    </format>
    <format dxfId="85">
      <pivotArea dataOnly="0" labelOnly="1" grandRow="1" outline="0" fieldPosition="0"/>
    </format>
    <format dxfId="84">
      <pivotArea dataOnly="0" labelOnly="1" outline="0" axis="axisValues" fieldPosition="0"/>
    </format>
  </formats>
  <chartFormats count="8">
    <chartFormat chart="4" format="3" series="1">
      <pivotArea type="data" outline="0" fieldPosition="0">
        <references count="1">
          <reference field="4294967294" count="1" selected="0">
            <x v="0"/>
          </reference>
        </references>
      </pivotArea>
    </chartFormat>
    <chartFormat chart="4" format="4">
      <pivotArea type="data" outline="0" fieldPosition="0">
        <references count="2">
          <reference field="4294967294" count="1" selected="0">
            <x v="0"/>
          </reference>
          <reference field="19" count="1" selected="0">
            <x v="0"/>
          </reference>
        </references>
      </pivotArea>
    </chartFormat>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19" count="1" selected="0">
            <x v="0"/>
          </reference>
        </references>
      </pivotArea>
    </chartFormat>
    <chartFormat chart="6" format="5" series="1">
      <pivotArea type="data" outline="0" fieldPosition="0">
        <references count="1">
          <reference field="4294967294" count="1" selected="0">
            <x v="0"/>
          </reference>
        </references>
      </pivotArea>
    </chartFormat>
    <chartFormat chart="6" format="6">
      <pivotArea type="data" outline="0" fieldPosition="0">
        <references count="2">
          <reference field="4294967294" count="1" selected="0">
            <x v="0"/>
          </reference>
          <reference field="19" count="1" selected="0">
            <x v="0"/>
          </reference>
        </references>
      </pivotArea>
    </chartFormat>
    <chartFormat chart="6" format="7">
      <pivotArea type="data" outline="0" fieldPosition="0">
        <references count="2">
          <reference field="4294967294" count="1" selected="0">
            <x v="0"/>
          </reference>
          <reference field="19" count="1" selected="0">
            <x v="1"/>
          </reference>
        </references>
      </pivotArea>
    </chartFormat>
    <chartFormat chart="6" format="8">
      <pivotArea type="data" outline="0" fieldPosition="0">
        <references count="2">
          <reference field="4294967294" count="1" selected="0">
            <x v="0"/>
          </reference>
          <reference field="19"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649E825-2976-4EC1-BF08-329137DBE83E}" name="PivotTable3"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7:C89" firstHeaderRow="1" firstDataRow="1" firstDataCol="1"/>
  <pivotFields count="32">
    <pivotField numFmtId="3" showAll="0"/>
    <pivotField showAll="0"/>
    <pivotField numFmtId="3" showAll="0"/>
    <pivotField numFmtId="169" showAll="0"/>
    <pivotField showAll="0"/>
    <pivotField showAll="0">
      <items count="20">
        <item m="1" x="14"/>
        <item m="1" x="15"/>
        <item m="1" x="13"/>
        <item m="1" x="16"/>
        <item x="2"/>
        <item x="5"/>
        <item m="1" x="10"/>
        <item m="1" x="17"/>
        <item m="1" x="11"/>
        <item m="1" x="18"/>
        <item m="1" x="12"/>
        <item m="1" x="8"/>
        <item x="0"/>
        <item x="3"/>
        <item x="1"/>
        <item x="4"/>
        <item m="1" x="7"/>
        <item m="1" x="9"/>
        <item m="1" x="6"/>
        <item t="default"/>
      </items>
    </pivotField>
    <pivotField showAll="0"/>
    <pivotField showAll="0"/>
    <pivotField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numFmtId="9" showAll="0"/>
    <pivotField numFmtId="9" showAll="0"/>
    <pivotField numFmtId="4" showAll="0"/>
    <pivotField axis="axisRow" dataField="1" showAll="0">
      <items count="4">
        <item m="1" x="1"/>
        <item x="0"/>
        <item m="1" x="2"/>
        <item t="default"/>
      </items>
    </pivotField>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8"/>
  </rowFields>
  <rowItems count="2">
    <i>
      <x v="1"/>
    </i>
    <i t="grand">
      <x/>
    </i>
  </rowItems>
  <colItems count="1">
    <i/>
  </colItems>
  <dataFields count="1">
    <dataField name="Count of Practice" fld="28" subtotal="count" baseField="0" baseItem="0"/>
  </dataFields>
  <formats count="6">
    <format dxfId="95">
      <pivotArea type="all" dataOnly="0" outline="0" fieldPosition="0"/>
    </format>
    <format dxfId="94">
      <pivotArea outline="0" collapsedLevelsAreSubtotals="1" fieldPosition="0"/>
    </format>
    <format dxfId="93">
      <pivotArea field="28" type="button" dataOnly="0" labelOnly="1" outline="0" axis="axisRow" fieldPosition="0"/>
    </format>
    <format dxfId="92">
      <pivotArea dataOnly="0" labelOnly="1" fieldPosition="0">
        <references count="1">
          <reference field="28" count="0"/>
        </references>
      </pivotArea>
    </format>
    <format dxfId="91">
      <pivotArea dataOnly="0" labelOnly="1" grandRow="1" outline="0" fieldPosition="0"/>
    </format>
    <format dxfId="90">
      <pivotArea dataOnly="0" labelOnly="1" outline="0" axis="axisValues" fieldPosition="0"/>
    </format>
  </formats>
  <chartFormats count="8">
    <chartFormat chart="4" format="3" series="1">
      <pivotArea type="data" outline="0" fieldPosition="0">
        <references count="1">
          <reference field="4294967294" count="1" selected="0">
            <x v="0"/>
          </reference>
        </references>
      </pivotArea>
    </chartFormat>
    <chartFormat chart="4" format="4">
      <pivotArea type="data" outline="0" fieldPosition="0">
        <references count="2">
          <reference field="4294967294" count="1" selected="0">
            <x v="0"/>
          </reference>
          <reference field="28" count="1" selected="0">
            <x v="1"/>
          </reference>
        </references>
      </pivotArea>
    </chartFormat>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28" count="1" selected="0">
            <x v="1"/>
          </reference>
        </references>
      </pivotArea>
    </chartFormat>
    <chartFormat chart="6" format="5" series="1">
      <pivotArea type="data" outline="0" fieldPosition="0">
        <references count="1">
          <reference field="4294967294" count="1" selected="0">
            <x v="0"/>
          </reference>
        </references>
      </pivotArea>
    </chartFormat>
    <chartFormat chart="6" format="6">
      <pivotArea type="data" outline="0" fieldPosition="0">
        <references count="2">
          <reference field="4294967294" count="1" selected="0">
            <x v="0"/>
          </reference>
          <reference field="28" count="1" selected="0">
            <x v="1"/>
          </reference>
        </references>
      </pivotArea>
    </chartFormat>
    <chartFormat chart="6" format="7">
      <pivotArea type="data" outline="0" fieldPosition="0">
        <references count="2">
          <reference field="4294967294" count="1" selected="0">
            <x v="0"/>
          </reference>
          <reference field="28" count="1" selected="0">
            <x v="0"/>
          </reference>
        </references>
      </pivotArea>
    </chartFormat>
    <chartFormat chart="6" format="8">
      <pivotArea type="data" outline="0" fieldPosition="0">
        <references count="2">
          <reference field="4294967294" count="1" selected="0">
            <x v="0"/>
          </reference>
          <reference field="2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6725A16-ED4B-4704-8297-541E63709C05}" name="PivotTable4"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6">
  <location ref="B92:C94" firstHeaderRow="1" firstDataRow="1" firstDataCol="1"/>
  <pivotFields count="32">
    <pivotField numFmtId="3" showAll="0"/>
    <pivotField showAll="0"/>
    <pivotField numFmtId="3" showAll="0"/>
    <pivotField numFmtId="169" showAll="0"/>
    <pivotField showAll="0"/>
    <pivotField showAll="0">
      <items count="20">
        <item m="1" x="14"/>
        <item m="1" x="15"/>
        <item m="1" x="13"/>
        <item m="1" x="16"/>
        <item x="2"/>
        <item x="5"/>
        <item m="1" x="10"/>
        <item m="1" x="17"/>
        <item m="1" x="11"/>
        <item m="1" x="18"/>
        <item m="1" x="12"/>
        <item m="1" x="8"/>
        <item x="0"/>
        <item x="3"/>
        <item x="1"/>
        <item x="4"/>
        <item m="1" x="7"/>
        <item m="1" x="9"/>
        <item m="1" x="6"/>
        <item t="default"/>
      </items>
    </pivotField>
    <pivotField showAll="0"/>
    <pivotField showAll="0"/>
    <pivotField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axis="axisRow" dataField="1" showAll="0">
      <items count="4">
        <item m="1" x="1"/>
        <item x="0"/>
        <item m="1" x="2"/>
        <item t="default"/>
      </items>
    </pivotField>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0"/>
  </rowFields>
  <rowItems count="2">
    <i>
      <x v="1"/>
    </i>
    <i t="grand">
      <x/>
    </i>
  </rowItems>
  <colItems count="1">
    <i/>
  </colItems>
  <dataFields count="1">
    <dataField name="Count of Revision" fld="20" subtotal="count" baseField="0" baseItem="0"/>
  </dataFields>
  <formats count="6">
    <format dxfId="101">
      <pivotArea type="all" dataOnly="0" outline="0" fieldPosition="0"/>
    </format>
    <format dxfId="100">
      <pivotArea outline="0" collapsedLevelsAreSubtotals="1" fieldPosition="0"/>
    </format>
    <format dxfId="99">
      <pivotArea field="20" type="button" dataOnly="0" labelOnly="1" outline="0" axis="axisRow" fieldPosition="0"/>
    </format>
    <format dxfId="98">
      <pivotArea dataOnly="0" labelOnly="1" fieldPosition="0">
        <references count="1">
          <reference field="20" count="0"/>
        </references>
      </pivotArea>
    </format>
    <format dxfId="97">
      <pivotArea dataOnly="0" labelOnly="1" grandRow="1" outline="0" fieldPosition="0"/>
    </format>
    <format dxfId="96">
      <pivotArea dataOnly="0" labelOnly="1" outline="0" axis="axisValues" fieldPosition="0"/>
    </format>
  </formats>
  <chartFormats count="8">
    <chartFormat chart="3" format="3" series="1">
      <pivotArea type="data" outline="0" fieldPosition="0">
        <references count="1">
          <reference field="4294967294" count="1" selected="0">
            <x v="0"/>
          </reference>
        </references>
      </pivotArea>
    </chartFormat>
    <chartFormat chart="3" format="4">
      <pivotArea type="data" outline="0" fieldPosition="0">
        <references count="2">
          <reference field="4294967294" count="1" selected="0">
            <x v="0"/>
          </reference>
          <reference field="20" count="1" selected="0">
            <x v="1"/>
          </reference>
        </references>
      </pivotArea>
    </chartFormat>
    <chartFormat chart="4" format="5" series="1">
      <pivotArea type="data" outline="0" fieldPosition="0">
        <references count="1">
          <reference field="4294967294" count="1" selected="0">
            <x v="0"/>
          </reference>
        </references>
      </pivotArea>
    </chartFormat>
    <chartFormat chart="4" format="6">
      <pivotArea type="data" outline="0" fieldPosition="0">
        <references count="2">
          <reference field="4294967294" count="1" selected="0">
            <x v="0"/>
          </reference>
          <reference field="20" count="1" selected="0">
            <x v="1"/>
          </reference>
        </references>
      </pivotArea>
    </chartFormat>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20" count="1" selected="0">
            <x v="1"/>
          </reference>
        </references>
      </pivotArea>
    </chartFormat>
    <chartFormat chart="5" format="7">
      <pivotArea type="data" outline="0" fieldPosition="0">
        <references count="2">
          <reference field="4294967294" count="1" selected="0">
            <x v="0"/>
          </reference>
          <reference field="20" count="1" selected="0">
            <x v="0"/>
          </reference>
        </references>
      </pivotArea>
    </chartFormat>
    <chartFormat chart="5" format="8">
      <pivotArea type="data" outline="0" fieldPosition="0">
        <references count="2">
          <reference field="4294967294" count="1" selected="0">
            <x v="0"/>
          </reference>
          <reference field="2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5E7BED3E-EC60-4282-8ACB-869130F64AA1}" name="PivotTable5"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97:C99" firstHeaderRow="1" firstDataRow="1" firstDataCol="1"/>
  <pivotFields count="32">
    <pivotField numFmtId="3" showAll="0"/>
    <pivotField showAll="0"/>
    <pivotField numFmtId="3" showAll="0"/>
    <pivotField numFmtId="169" showAll="0"/>
    <pivotField showAll="0"/>
    <pivotField showAll="0">
      <items count="20">
        <item m="1" x="14"/>
        <item m="1" x="15"/>
        <item m="1" x="13"/>
        <item m="1" x="16"/>
        <item x="2"/>
        <item x="5"/>
        <item m="1" x="10"/>
        <item m="1" x="17"/>
        <item m="1" x="11"/>
        <item m="1" x="18"/>
        <item m="1" x="12"/>
        <item m="1" x="8"/>
        <item x="0"/>
        <item x="3"/>
        <item x="1"/>
        <item x="4"/>
        <item m="1" x="7"/>
        <item m="1" x="9"/>
        <item m="1" x="6"/>
        <item t="default"/>
      </items>
    </pivotField>
    <pivotField showAll="0"/>
    <pivotField showAll="0"/>
    <pivotField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numFmtId="9" showAll="0"/>
    <pivotField numFmtId="9" showAll="0"/>
    <pivotField numFmtId="4" showAll="0"/>
    <pivotField showAll="0"/>
    <pivotField axis="axisRow" dataField="1" showAll="0" sortType="ascending">
      <items count="4">
        <item m="1" x="1"/>
        <item x="0"/>
        <item m="1" x="2"/>
        <item t="default"/>
      </items>
    </pivotField>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9"/>
  </rowFields>
  <rowItems count="2">
    <i>
      <x v="1"/>
    </i>
    <i t="grand">
      <x/>
    </i>
  </rowItems>
  <colItems count="1">
    <i/>
  </colItems>
  <dataFields count="1">
    <dataField name="Count of Extra Practice" fld="29" subtotal="count" baseField="0" baseItem="0"/>
  </dataFields>
  <formats count="6">
    <format dxfId="107">
      <pivotArea type="all" dataOnly="0" outline="0" fieldPosition="0"/>
    </format>
    <format dxfId="106">
      <pivotArea outline="0" collapsedLevelsAreSubtotals="1" fieldPosition="0"/>
    </format>
    <format dxfId="105">
      <pivotArea field="29" type="button" dataOnly="0" labelOnly="1" outline="0" axis="axisRow" fieldPosition="0"/>
    </format>
    <format dxfId="104">
      <pivotArea dataOnly="0" labelOnly="1" fieldPosition="0">
        <references count="1">
          <reference field="29" count="0"/>
        </references>
      </pivotArea>
    </format>
    <format dxfId="103">
      <pivotArea dataOnly="0" labelOnly="1" grandRow="1" outline="0" fieldPosition="0"/>
    </format>
    <format dxfId="102">
      <pivotArea dataOnly="0" labelOnly="1" outline="0" axis="axisValues" fieldPosition="0"/>
    </format>
  </formats>
  <chartFormats count="8">
    <chartFormat chart="4" format="3" series="1">
      <pivotArea type="data" outline="0" fieldPosition="0">
        <references count="1">
          <reference field="4294967294" count="1" selected="0">
            <x v="0"/>
          </reference>
        </references>
      </pivotArea>
    </chartFormat>
    <chartFormat chart="4" format="4">
      <pivotArea type="data" outline="0" fieldPosition="0">
        <references count="2">
          <reference field="4294967294" count="1" selected="0">
            <x v="0"/>
          </reference>
          <reference field="29" count="1" selected="0">
            <x v="1"/>
          </reference>
        </references>
      </pivotArea>
    </chartFormat>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29" count="1" selected="0">
            <x v="1"/>
          </reference>
        </references>
      </pivotArea>
    </chartFormat>
    <chartFormat chart="6" format="5" series="1">
      <pivotArea type="data" outline="0" fieldPosition="0">
        <references count="1">
          <reference field="4294967294" count="1" selected="0">
            <x v="0"/>
          </reference>
        </references>
      </pivotArea>
    </chartFormat>
    <chartFormat chart="6" format="6">
      <pivotArea type="data" outline="0" fieldPosition="0">
        <references count="2">
          <reference field="4294967294" count="1" selected="0">
            <x v="0"/>
          </reference>
          <reference field="29" count="1" selected="0">
            <x v="1"/>
          </reference>
        </references>
      </pivotArea>
    </chartFormat>
    <chartFormat chart="6" format="7">
      <pivotArea type="data" outline="0" fieldPosition="0">
        <references count="2">
          <reference field="4294967294" count="1" selected="0">
            <x v="0"/>
          </reference>
          <reference field="29" count="1" selected="0">
            <x v="0"/>
          </reference>
        </references>
      </pivotArea>
    </chartFormat>
    <chartFormat chart="6" format="8">
      <pivotArea type="data" outline="0" fieldPosition="0">
        <references count="2">
          <reference field="4294967294" count="1" selected="0">
            <x v="0"/>
          </reference>
          <reference field="29"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ject" xr10:uid="{E5DF8370-856C-4096-8BFE-2F3EB9D9E115}" sourceName="Subject">
  <pivotTables>
    <pivotTable tabId="8" name="PivotTable2"/>
    <pivotTable tabId="8" name="PivotTable1"/>
    <pivotTable tabId="8" name="PivotTable5"/>
    <pivotTable tabId="8" name="PivotTable4"/>
    <pivotTable tabId="8" name="PivotTable3"/>
  </pivotTables>
  <data>
    <tabular pivotCacheId="1723530185" customListSort="0" showMissing="0" crossFilter="none">
      <items count="19">
        <i x="2" s="1"/>
        <i x="5" s="1"/>
        <i x="0" s="1"/>
        <i x="3" s="1"/>
        <i x="1" s="1"/>
        <i x="4" s="1"/>
        <i x="14" s="1"/>
        <i x="15" s="1"/>
        <i x="13" s="1"/>
        <i x="16" s="1"/>
        <i x="10" s="1"/>
        <i x="17" s="1"/>
        <i x="11" s="1"/>
        <i x="18" s="1"/>
        <i x="12" s="1"/>
        <i x="8" s="1"/>
        <i x="7" s="1"/>
        <i x="9" s="1"/>
        <i x="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ject 2" xr10:uid="{10316CBC-5F57-4C58-8663-4C18FEE16DD0}" cache="Slicer_Subject" caption="Subject"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ster_Data" displayName="Master_Data" ref="B8:AE111" totalsRowShown="0" headerRowDxfId="142" dataDxfId="140" headerRowBorderDxfId="141" tableBorderDxfId="139" totalsRowBorderDxfId="138">
  <autoFilter ref="B8:AE111" xr:uid="{861EE33C-73C1-4F33-9192-F531CCE54052}"/>
  <sortState xmlns:xlrd2="http://schemas.microsoft.com/office/spreadsheetml/2017/richdata2" ref="B9:AE111">
    <sortCondition ref="B8:B111"/>
  </sortState>
  <tableColumns count="30">
    <tableColumn id="9" xr3:uid="{1F1DE16E-278E-4EF8-B2BB-8924E21CCBFE}" name="Order of Study" dataDxfId="137"/>
    <tableColumn id="33" xr3:uid="{BBAB2BFB-594B-429D-A8B8-83652595607C}" name="Schedule" dataDxfId="136">
      <calculatedColumnFormula>IF(Master_Data[[#This Row],[Column1]]=0,"",IF(Master_Data[[#This Row],[Column1]]=1,"Current Week",CONCATENATE("Week ",Master_Data[[#This Row],[Column1]])))</calculatedColumnFormula>
    </tableColumn>
    <tableColumn id="32" xr3:uid="{9A94244A-9683-470A-BBD0-A46326317C2C}" name="Column1" dataDxfId="135">
      <calculatedColumnFormula>ROUNDUP(Master_Data[[#This Row],[Column2]]/Working!$C$8,0)</calculatedColumnFormula>
    </tableColumn>
    <tableColumn id="30" xr3:uid="{870EBD19-DC72-4312-B209-C8AADE869148}" name="Column2" dataDxfId="134">
      <calculatedColumnFormula>SUM($F$9:F9)</calculatedColumnFormula>
    </tableColumn>
    <tableColumn id="27" xr3:uid="{2C857C23-47AE-4F9C-AA57-E6F2EC1B8477}" name="undone duration" dataDxfId="133">
      <calculatedColumnFormula>IF(Master_Data[[#This Row],[Lectures]]="D","",Master_Data[[#This Row],[Duration (hh:mm)]])</calculatedColumnFormula>
    </tableColumn>
    <tableColumn id="1" xr3:uid="{00000000-0010-0000-0000-000001000000}" name="Subject" dataDxfId="132"/>
    <tableColumn id="2" xr3:uid="{00000000-0010-0000-0000-000002000000}" name="Reading" dataDxfId="131"/>
    <tableColumn id="24" xr3:uid="{12F2DE11-D6A3-41B2-B62E-C51E27851BC0}" name="Changes" dataDxfId="130"/>
    <tableColumn id="3" xr3:uid="{00000000-0010-0000-0000-000003000000}" name="Topic" dataDxfId="129"/>
    <tableColumn id="13" xr3:uid="{831F4477-25B4-4195-AB9B-0AADBF9D7D3E}" name="No. of LOS" dataDxfId="128"/>
    <tableColumn id="21" xr3:uid="{75701E24-4A87-4E0F-9D5A-73640F8E25C4}" name="Lengthy" dataDxfId="127"/>
    <tableColumn id="20" xr3:uid="{77CA19E4-4B02-44E6-B959-FD5250D705DD}" name="Numerical or Not" dataDxfId="126"/>
    <tableColumn id="19" xr3:uid="{2E72736C-C56E-4D52-B458-A87278BC9CE2}" name="Diff. Level" dataDxfId="125"/>
    <tableColumn id="22" xr3:uid="{BC8C5220-F4FC-4DDB-BF01-412D8FEECE86}" name="Confusing" dataDxfId="124"/>
    <tableColumn id="18" xr3:uid="{2E66286A-5B10-41F1-B2EC-C16040833BBF}" name="Imp. Level" dataDxfId="123"/>
    <tableColumn id="17" xr3:uid="{7EEA9AA8-4E26-4B33-AA7E-0D9AA4589720}" name="Reqd. Prac." dataDxfId="122"/>
    <tableColumn id="16" xr3:uid="{BD71F8AD-1CE1-4DAB-BF8A-6F05372A3D94}" name="Duration (hh:mm)" dataDxfId="121"/>
    <tableColumn id="15" xr3:uid="{14D87CA9-408F-464E-88DB-8BE470862CA1}" name="Cum. (%)" dataDxfId="120">
      <calculatedColumnFormula>(SUM($R$9:R9)/$R$4)*100</calculatedColumnFormula>
    </tableColumn>
    <tableColumn id="4" xr3:uid="{00000000-0010-0000-0000-000004000000}" name="Lectures" dataDxfId="119"/>
    <tableColumn id="5" xr3:uid="{00000000-0010-0000-0000-000005000000}" name="Self Study" dataDxfId="118"/>
    <tableColumn id="6" xr3:uid="{00000000-0010-0000-0000-000006000000}" name="Revision" dataDxfId="117"/>
    <tableColumn id="12" xr3:uid="{00000000-0010-0000-0000-00000C000000}" name="Prac. Book" dataDxfId="116"/>
    <tableColumn id="14" xr3:uid="{AEDD019D-42C9-488A-91CF-CB6B9FD52249}" name="GARP EOC Ques." dataDxfId="115"/>
    <tableColumn id="25" xr3:uid="{960A4FD1-ACCA-4C3B-BB49-555780F1E120}" name="Confidence Level" dataDxfId="114"/>
    <tableColumn id="23" xr3:uid="{4F2FB2AB-1E57-49E4-A36E-C2AE4F7ECC88}" name="Notes to Yourself" dataDxfId="113"/>
    <tableColumn id="26" xr3:uid="{15012E93-27CD-479E-B748-1A0B33E38540}" name="Total weights" dataDxfId="112">
      <calculatedColumnFormula>P9/SUM($P$9:$P$111)</calculatedColumnFormula>
    </tableColumn>
    <tableColumn id="28" xr3:uid="{F75F033E-D2A5-4A49-AC71-603D263F625D}" name="Subjectwise weights" dataDxfId="111">
      <calculatedColumnFormula>Master_Data[[#This Row],[Imp. Level]]/SUMIF(Master_Data[Subject],Master_Data[[#This Row],[Subject]],Master_Data[Imp. Level])</calculatedColumnFormula>
    </tableColumn>
    <tableColumn id="29" xr3:uid="{4DCF2CFD-3233-40BF-995C-319D9E96ABF7}" name="Subjectwise weighted average" dataDxfId="110">
      <calculatedColumnFormula>Master_Data[[#This Row],[Subjectwise weights]]*Master_Data[[#This Row],[Confidence Level]]</calculatedColumnFormula>
    </tableColumn>
    <tableColumn id="31" xr3:uid="{44791B14-8EA4-4997-9F55-0F060C364CAA}" name="Practice" dataDxfId="109">
      <calculatedColumnFormula>Master_Data[[#This Row],[Prac. Book]]</calculatedColumnFormula>
    </tableColumn>
    <tableColumn id="34" xr3:uid="{679C7012-AA95-4E12-BCFA-3A8F0884BA1B}" name="Extra Practice" dataDxfId="108">
      <calculatedColumnFormula>Master_Data[[#This Row],[GARP EOC Ques.]]</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470A77-94EC-4BDD-954E-C1385AFD4773}" name="Table134" displayName="Table134" ref="E2:K8" totalsRowCount="1" headerRowDxfId="77" dataDxfId="75" totalsRowDxfId="73" headerRowBorderDxfId="76" tableBorderDxfId="74" totalsRowBorderDxfId="72">
  <tableColumns count="7">
    <tableColumn id="1" xr3:uid="{AE11ECA3-766C-4A27-9D55-2BC88847F811}" name="YEAR" dataDxfId="71" totalsRowDxfId="70"/>
    <tableColumn id="8" xr3:uid="{F45BA15B-8BD1-46B5-B2D7-1C41230837B1}" name="Difference" dataDxfId="69" totalsRowDxfId="68" dataCellStyle="Percent" totalsRowCellStyle="Percent"/>
    <tableColumn id="3" xr3:uid="{8587D4BE-01D5-4334-AA9F-1CB7C9F49C45}" name="Cum. Diff" dataDxfId="67" totalsRowDxfId="66" dataCellStyle="Percent" totalsRowCellStyle="Percent">
      <calculatedColumnFormula>Table134[[#This Row],[Diff %]]</calculatedColumnFormula>
    </tableColumn>
    <tableColumn id="2" xr3:uid="{6BC40997-B42C-4560-B77E-739CF69E8116}" name="Diff %" totalsRowFunction="sum" dataDxfId="65" totalsRowDxfId="64" dataCellStyle="Percent" totalsRowCellStyle="Percent">
      <calculatedColumnFormula>Table134[[#This Row],[%]]</calculatedColumnFormula>
    </tableColumn>
    <tableColumn id="6" xr3:uid="{3F56D537-714F-43D6-9FD7-831C5EC8E06A}" name="%" dataDxfId="63" totalsRowDxfId="62">
      <calculatedColumnFormula>Table134[[#This Row],[Difference]]/$F$7</calculatedColumnFormula>
    </tableColumn>
    <tableColumn id="7" xr3:uid="{934479DB-DEF7-4CC9-ACF3-42FD51742DBC}" name="No. of days" dataDxfId="61" totalsRowDxfId="60">
      <calculatedColumnFormula>30%</calculatedColumnFormula>
    </tableColumn>
    <tableColumn id="10" xr3:uid="{51DA5D9E-8A89-4740-A73E-F978631A4936}" name="LABEL" dataDxfId="59" totalsRowDxfId="58"/>
  </tableColumns>
  <tableStyleInfo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ivotTable" Target="../pivotTables/pivotTable3.xml"/><Relationship Id="rId7" Type="http://schemas.openxmlformats.org/officeDocument/2006/relationships/drawing" Target="../drawings/drawing4.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5.bin"/><Relationship Id="rId5" Type="http://schemas.openxmlformats.org/officeDocument/2006/relationships/pivotTable" Target="../pivotTables/pivotTable5.xml"/><Relationship Id="rId10" Type="http://schemas.openxmlformats.org/officeDocument/2006/relationships/comments" Target="../comments2.xml"/><Relationship Id="rId4" Type="http://schemas.openxmlformats.org/officeDocument/2006/relationships/pivotTable" Target="../pivotTables/pivotTable4.xml"/><Relationship Id="rId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B1:AA40"/>
  <sheetViews>
    <sheetView showGridLines="0" tabSelected="1" topLeftCell="A19" zoomScale="90" zoomScaleNormal="90" workbookViewId="0">
      <selection activeCell="F8" sqref="F8"/>
    </sheetView>
  </sheetViews>
  <sheetFormatPr defaultColWidth="8.7265625" defaultRowHeight="14" x14ac:dyDescent="0.3"/>
  <cols>
    <col min="1" max="1" width="3.7265625" style="41" customWidth="1"/>
    <col min="2" max="2" width="11.81640625" style="41" customWidth="1"/>
    <col min="3" max="3" width="16" style="41" customWidth="1"/>
    <col min="4" max="4" width="42.54296875" style="41" customWidth="1"/>
    <col min="5" max="5" width="34.453125" style="41" customWidth="1"/>
    <col min="6" max="6" width="39.54296875" style="41" customWidth="1"/>
    <col min="7" max="16384" width="8.7265625" style="41"/>
  </cols>
  <sheetData>
    <row r="1" spans="2:27" ht="6.75" customHeight="1" x14ac:dyDescent="0.3"/>
    <row r="2" spans="2:27" ht="30" customHeight="1" x14ac:dyDescent="0.3">
      <c r="B2" s="282" t="s">
        <v>154</v>
      </c>
      <c r="C2" s="282"/>
      <c r="D2" s="282"/>
      <c r="E2" s="282"/>
      <c r="F2" s="282"/>
      <c r="G2" s="58"/>
      <c r="H2" s="58"/>
      <c r="I2" s="58"/>
      <c r="J2" s="58"/>
      <c r="K2" s="58"/>
      <c r="L2" s="58"/>
      <c r="M2" s="58"/>
      <c r="N2" s="58"/>
      <c r="O2" s="58"/>
      <c r="P2" s="58"/>
      <c r="Q2" s="58"/>
      <c r="R2" s="58"/>
      <c r="S2" s="58"/>
      <c r="T2" s="58"/>
      <c r="U2" s="58"/>
      <c r="V2" s="58"/>
      <c r="W2" s="58"/>
      <c r="X2" s="58"/>
      <c r="Y2" s="58"/>
      <c r="Z2" s="58"/>
      <c r="AA2" s="58"/>
    </row>
    <row r="3" spans="2:27" ht="10" customHeight="1" x14ac:dyDescent="0.3"/>
    <row r="4" spans="2:27" s="29" customFormat="1" ht="21.75" customHeight="1" x14ac:dyDescent="0.35">
      <c r="D4" s="59"/>
      <c r="E4" s="279" t="s">
        <v>207</v>
      </c>
      <c r="F4" s="279"/>
      <c r="G4" s="59"/>
      <c r="H4" s="59"/>
      <c r="I4" s="59"/>
      <c r="J4" s="59"/>
      <c r="K4" s="60"/>
      <c r="L4" s="60"/>
      <c r="M4" s="60"/>
      <c r="N4" s="60"/>
      <c r="O4" s="60"/>
      <c r="P4" s="60"/>
      <c r="Q4" s="60"/>
      <c r="R4" s="60"/>
      <c r="S4" s="60"/>
    </row>
    <row r="5" spans="2:27" ht="8.25" customHeight="1" x14ac:dyDescent="0.3"/>
    <row r="6" spans="2:27" ht="18" x14ac:dyDescent="0.3">
      <c r="E6" s="70" t="s">
        <v>0</v>
      </c>
      <c r="F6" s="71" t="s">
        <v>157</v>
      </c>
      <c r="I6" s="137"/>
    </row>
    <row r="7" spans="2:27" ht="5.25" customHeight="1" x14ac:dyDescent="0.3">
      <c r="E7" s="61"/>
      <c r="F7" s="156"/>
    </row>
    <row r="8" spans="2:27" ht="19.5" customHeight="1" x14ac:dyDescent="0.3">
      <c r="E8" s="185" t="s">
        <v>2</v>
      </c>
      <c r="F8" s="186">
        <v>45302</v>
      </c>
    </row>
    <row r="9" spans="2:27" ht="19.5" customHeight="1" x14ac:dyDescent="0.3">
      <c r="E9" s="187" t="s">
        <v>1</v>
      </c>
      <c r="F9" s="188">
        <v>45615</v>
      </c>
    </row>
    <row r="11" spans="2:27" x14ac:dyDescent="0.3">
      <c r="B11" s="281"/>
      <c r="C11" s="281"/>
      <c r="D11" s="281"/>
    </row>
    <row r="12" spans="2:27" ht="6.65" customHeight="1" x14ac:dyDescent="0.3">
      <c r="B12" s="146"/>
      <c r="C12" s="146"/>
    </row>
    <row r="13" spans="2:27" s="147" customFormat="1" ht="25.5" x14ac:dyDescent="0.55000000000000004">
      <c r="B13" s="277" t="s">
        <v>27</v>
      </c>
      <c r="C13" s="277"/>
      <c r="D13" s="278"/>
      <c r="E13" s="278"/>
      <c r="F13" s="148" t="str">
        <f>'📝 Instructions'!E4&amp;" |Aswini Bajaj"</f>
        <v>FRM P-2 |Aswini Bajaj</v>
      </c>
    </row>
    <row r="14" spans="2:27" x14ac:dyDescent="0.3">
      <c r="C14" s="42"/>
    </row>
    <row r="15" spans="2:27" ht="42.65" customHeight="1" x14ac:dyDescent="0.6">
      <c r="B15" s="139"/>
      <c r="C15" s="139"/>
      <c r="D15" s="139"/>
      <c r="E15" s="139"/>
      <c r="F15" s="139"/>
    </row>
    <row r="16" spans="2:27" ht="44.5" customHeight="1" x14ac:dyDescent="0.6">
      <c r="B16" s="52"/>
      <c r="C16" s="52"/>
      <c r="D16" s="52"/>
      <c r="E16" s="52"/>
      <c r="F16" s="52"/>
    </row>
    <row r="17" spans="2:6" ht="25.5" x14ac:dyDescent="0.55000000000000004">
      <c r="B17" s="53"/>
      <c r="C17" s="54"/>
      <c r="D17" s="53"/>
      <c r="E17" s="53"/>
    </row>
    <row r="18" spans="2:6" ht="18.649999999999999" customHeight="1" x14ac:dyDescent="0.55000000000000004">
      <c r="B18" s="53"/>
      <c r="C18" s="54"/>
      <c r="D18" s="53"/>
      <c r="E18" s="53"/>
    </row>
    <row r="19" spans="2:6" ht="18" x14ac:dyDescent="0.3">
      <c r="B19" s="155" t="s">
        <v>25</v>
      </c>
      <c r="C19" s="155" t="s">
        <v>26</v>
      </c>
      <c r="D19" s="280" t="s">
        <v>27</v>
      </c>
      <c r="E19" s="280"/>
      <c r="F19" s="280"/>
    </row>
    <row r="20" spans="2:6" ht="59.15" customHeight="1" x14ac:dyDescent="0.3">
      <c r="B20" s="140">
        <v>1</v>
      </c>
      <c r="C20" s="141" t="s">
        <v>10</v>
      </c>
      <c r="D20" s="275" t="s">
        <v>156</v>
      </c>
      <c r="E20" s="275"/>
      <c r="F20" s="276"/>
    </row>
    <row r="21" spans="2:6" ht="42" customHeight="1" x14ac:dyDescent="0.3">
      <c r="B21" s="140">
        <v>2</v>
      </c>
      <c r="C21" s="141" t="s">
        <v>135</v>
      </c>
      <c r="D21" s="275" t="s">
        <v>208</v>
      </c>
      <c r="E21" s="275"/>
      <c r="F21" s="276"/>
    </row>
    <row r="22" spans="2:6" ht="42" customHeight="1" x14ac:dyDescent="0.3">
      <c r="B22" s="142">
        <v>3</v>
      </c>
      <c r="C22" s="143" t="s">
        <v>3</v>
      </c>
      <c r="D22" s="275" t="s">
        <v>31</v>
      </c>
      <c r="E22" s="275"/>
      <c r="F22" s="276"/>
    </row>
    <row r="23" spans="2:6" ht="25.5" customHeight="1" x14ac:dyDescent="0.3">
      <c r="B23" s="144">
        <v>4</v>
      </c>
      <c r="C23" s="145" t="s">
        <v>4</v>
      </c>
      <c r="D23" s="275" t="s">
        <v>65</v>
      </c>
      <c r="E23" s="275"/>
      <c r="F23" s="276"/>
    </row>
    <row r="24" spans="2:6" ht="42" customHeight="1" x14ac:dyDescent="0.3">
      <c r="B24" s="142">
        <v>5</v>
      </c>
      <c r="C24" s="143" t="s">
        <v>5</v>
      </c>
      <c r="D24" s="275" t="s">
        <v>78</v>
      </c>
      <c r="E24" s="275"/>
      <c r="F24" s="276"/>
    </row>
    <row r="25" spans="2:6" ht="42" customHeight="1" x14ac:dyDescent="0.3">
      <c r="B25" s="144">
        <v>6</v>
      </c>
      <c r="C25" s="145" t="s">
        <v>64</v>
      </c>
      <c r="D25" s="275" t="s">
        <v>82</v>
      </c>
      <c r="E25" s="275"/>
      <c r="F25" s="276"/>
    </row>
    <row r="26" spans="2:6" ht="29.15" customHeight="1" x14ac:dyDescent="0.3">
      <c r="B26" s="142">
        <v>7</v>
      </c>
      <c r="C26" s="143" t="s">
        <v>86</v>
      </c>
      <c r="D26" s="275" t="s">
        <v>83</v>
      </c>
      <c r="E26" s="275"/>
      <c r="F26" s="276"/>
    </row>
    <row r="27" spans="2:6" ht="42" customHeight="1" x14ac:dyDescent="0.3">
      <c r="B27" s="144">
        <v>8</v>
      </c>
      <c r="C27" s="145" t="s">
        <v>151</v>
      </c>
      <c r="D27" s="275" t="s">
        <v>209</v>
      </c>
      <c r="E27" s="275"/>
      <c r="F27" s="276"/>
    </row>
    <row r="28" spans="2:6" ht="42" customHeight="1" x14ac:dyDescent="0.3">
      <c r="B28" s="142">
        <v>9</v>
      </c>
      <c r="C28" s="143" t="s">
        <v>61</v>
      </c>
      <c r="D28" s="275" t="s">
        <v>77</v>
      </c>
      <c r="E28" s="275"/>
      <c r="F28" s="276"/>
    </row>
    <row r="29" spans="2:6" ht="91.5" customHeight="1" x14ac:dyDescent="0.3">
      <c r="B29" s="144">
        <v>10</v>
      </c>
      <c r="C29" s="145" t="s">
        <v>62</v>
      </c>
      <c r="D29" s="275" t="s">
        <v>79</v>
      </c>
      <c r="E29" s="275"/>
      <c r="F29" s="276"/>
    </row>
    <row r="30" spans="2:6" ht="75.650000000000006" customHeight="1" x14ac:dyDescent="0.3">
      <c r="B30" s="142">
        <v>11</v>
      </c>
      <c r="C30" s="143" t="s">
        <v>152</v>
      </c>
      <c r="D30" s="275" t="s">
        <v>76</v>
      </c>
      <c r="E30" s="275"/>
      <c r="F30" s="276"/>
    </row>
    <row r="31" spans="2:6" ht="194.25" customHeight="1" x14ac:dyDescent="0.3">
      <c r="B31" s="144">
        <v>12</v>
      </c>
      <c r="C31" s="145" t="s">
        <v>63</v>
      </c>
      <c r="D31" s="275" t="s">
        <v>210</v>
      </c>
      <c r="E31" s="275"/>
      <c r="F31" s="276"/>
    </row>
    <row r="32" spans="2:6" ht="73" customHeight="1" x14ac:dyDescent="0.3">
      <c r="B32" s="142">
        <v>13</v>
      </c>
      <c r="C32" s="143" t="s">
        <v>28</v>
      </c>
      <c r="D32" s="275" t="s">
        <v>80</v>
      </c>
      <c r="E32" s="275"/>
      <c r="F32" s="276"/>
    </row>
    <row r="33" spans="2:6" ht="42" customHeight="1" x14ac:dyDescent="0.3">
      <c r="B33" s="144">
        <v>14</v>
      </c>
      <c r="C33" s="145" t="s">
        <v>24</v>
      </c>
      <c r="D33" s="275" t="s">
        <v>211</v>
      </c>
      <c r="E33" s="275"/>
      <c r="F33" s="276"/>
    </row>
    <row r="34" spans="2:6" ht="58.5" customHeight="1" x14ac:dyDescent="0.3">
      <c r="B34" s="142">
        <v>15</v>
      </c>
      <c r="C34" s="143" t="s">
        <v>21</v>
      </c>
      <c r="D34" s="275" t="s">
        <v>212</v>
      </c>
      <c r="E34" s="275"/>
      <c r="F34" s="276"/>
    </row>
    <row r="35" spans="2:6" ht="56.5" customHeight="1" x14ac:dyDescent="0.3">
      <c r="B35" s="144">
        <v>16</v>
      </c>
      <c r="C35" s="145" t="s">
        <v>22</v>
      </c>
      <c r="D35" s="275" t="s">
        <v>32</v>
      </c>
      <c r="E35" s="275"/>
      <c r="F35" s="276"/>
    </row>
    <row r="36" spans="2:6" ht="58.5" customHeight="1" x14ac:dyDescent="0.3">
      <c r="B36" s="142">
        <v>17</v>
      </c>
      <c r="C36" s="143" t="s">
        <v>213</v>
      </c>
      <c r="D36" s="275" t="s">
        <v>214</v>
      </c>
      <c r="E36" s="275"/>
      <c r="F36" s="276"/>
    </row>
    <row r="37" spans="2:6" ht="54" customHeight="1" x14ac:dyDescent="0.3">
      <c r="B37" s="144">
        <v>18</v>
      </c>
      <c r="C37" s="143" t="s">
        <v>215</v>
      </c>
      <c r="D37" s="275" t="s">
        <v>216</v>
      </c>
      <c r="E37" s="275"/>
      <c r="F37" s="276"/>
    </row>
    <row r="38" spans="2:6" ht="42" customHeight="1" x14ac:dyDescent="0.3">
      <c r="B38" s="142">
        <v>19</v>
      </c>
      <c r="C38" s="143" t="s">
        <v>23</v>
      </c>
      <c r="D38" s="275" t="s">
        <v>33</v>
      </c>
      <c r="E38" s="275"/>
      <c r="F38" s="276"/>
    </row>
    <row r="39" spans="2:6" ht="42" customHeight="1" x14ac:dyDescent="0.3">
      <c r="B39" s="144">
        <v>20</v>
      </c>
      <c r="C39" s="145" t="s">
        <v>98</v>
      </c>
      <c r="D39" s="275" t="s">
        <v>150</v>
      </c>
      <c r="E39" s="275"/>
      <c r="F39" s="276"/>
    </row>
    <row r="40" spans="2:6" ht="50.5" customHeight="1" x14ac:dyDescent="0.3">
      <c r="B40" s="142">
        <v>21</v>
      </c>
      <c r="C40" s="143" t="s">
        <v>84</v>
      </c>
      <c r="D40" s="275" t="s">
        <v>153</v>
      </c>
      <c r="E40" s="275"/>
      <c r="F40" s="276"/>
    </row>
  </sheetData>
  <sheetProtection algorithmName="SHA-512" hashValue="7kyAoMB71yGepEN32vIy4yTSheWcLOJ1Rqo4w8mMAFWmBHp77/7DWYPCuPC05Tg0XTYSPoc0TEEsGGqkOdwPhw==" saltValue="hmc0yyb+S1Tvxbpb+RnDZQ==" spinCount="100000" sheet="1" selectLockedCells="1"/>
  <mergeCells count="27">
    <mergeCell ref="E4:F4"/>
    <mergeCell ref="D19:F19"/>
    <mergeCell ref="B11:D11"/>
    <mergeCell ref="B2:F2"/>
    <mergeCell ref="D22:F22"/>
    <mergeCell ref="D23:F23"/>
    <mergeCell ref="B13:C13"/>
    <mergeCell ref="D21:F21"/>
    <mergeCell ref="D13:E13"/>
    <mergeCell ref="D20:F20"/>
    <mergeCell ref="D36:F36"/>
    <mergeCell ref="D37:F37"/>
    <mergeCell ref="D38:F38"/>
    <mergeCell ref="D39:F39"/>
    <mergeCell ref="D40:F40"/>
    <mergeCell ref="D24:F24"/>
    <mergeCell ref="D32:F32"/>
    <mergeCell ref="D33:F33"/>
    <mergeCell ref="D34:F34"/>
    <mergeCell ref="D35:F35"/>
    <mergeCell ref="D30:F30"/>
    <mergeCell ref="D31:F31"/>
    <mergeCell ref="D29:F29"/>
    <mergeCell ref="D28:F28"/>
    <mergeCell ref="D27:F27"/>
    <mergeCell ref="D25:F25"/>
    <mergeCell ref="D26:F26"/>
  </mergeCells>
  <dataValidations count="3">
    <dataValidation type="date" operator="greaterThanOrEqual" allowBlank="1" showInputMessage="1" showErrorMessage="1" promptTitle="Exam Date:" prompt="Please enter the date of the exam in dd-mm-yy format" sqref="F9" xr:uid="{00000000-0002-0000-0000-000000000000}">
      <formula1>TODAY()</formula1>
    </dataValidation>
    <dataValidation type="date" operator="lessThanOrEqual" allowBlank="1" showErrorMessage="1" errorTitle="Wrong Entry" error="Please enter a date less than or equal to today to get the Target &amp; Analysis of your Performance_x000a_" promptTitle="Enter Date:" prompt="Please enter the date here which i" sqref="F8" xr:uid="{00000000-0002-0000-0000-000002000000}">
      <formula1>TODAY()</formula1>
    </dataValidation>
    <dataValidation type="textLength" allowBlank="1" showInputMessage="1" showErrorMessage="1" promptTitle="Please Input your name" sqref="F6" xr:uid="{00000000-0002-0000-0000-000003000000}">
      <formula1>1</formula1>
      <formula2>100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sheetPr>
  <dimension ref="A2:BN111"/>
  <sheetViews>
    <sheetView showGridLines="0" zoomScale="80" zoomScaleNormal="80" workbookViewId="0">
      <selection activeCell="T47" sqref="T47"/>
    </sheetView>
  </sheetViews>
  <sheetFormatPr defaultColWidth="8.81640625" defaultRowHeight="14" x14ac:dyDescent="0.3"/>
  <cols>
    <col min="1" max="1" width="0.54296875" style="41" customWidth="1"/>
    <col min="2" max="2" width="6.453125" style="41" customWidth="1"/>
    <col min="3" max="3" width="9.54296875" style="42" customWidth="1"/>
    <col min="4" max="4" width="10.81640625" style="41" hidden="1" customWidth="1"/>
    <col min="5" max="5" width="8" style="41" hidden="1" customWidth="1"/>
    <col min="6" max="6" width="9.26953125" style="41" hidden="1" customWidth="1"/>
    <col min="7" max="7" width="18.81640625" style="42" customWidth="1"/>
    <col min="8" max="8" width="8.81640625" style="41" customWidth="1"/>
    <col min="9" max="9" width="4.7265625" style="41" hidden="1" customWidth="1"/>
    <col min="10" max="10" width="32.453125" style="42" customWidth="1"/>
    <col min="11" max="11" width="6.1796875" style="62" customWidth="1"/>
    <col min="12" max="17" width="8.7265625" style="62" customWidth="1"/>
    <col min="18" max="18" width="9.81640625" style="41" customWidth="1"/>
    <col min="19" max="19" width="8.1796875" style="41" bestFit="1" customWidth="1"/>
    <col min="20" max="20" width="8.7265625" style="41" customWidth="1"/>
    <col min="21" max="21" width="6.81640625" style="41" bestFit="1" customWidth="1"/>
    <col min="22" max="22" width="8.54296875" style="41" customWidth="1"/>
    <col min="23" max="23" width="6" style="41" customWidth="1"/>
    <col min="24" max="24" width="10.26953125" style="41" customWidth="1"/>
    <col min="25" max="25" width="7.7265625" style="41" customWidth="1"/>
    <col min="26" max="26" width="40" style="41" customWidth="1"/>
    <col min="27" max="28" width="8.81640625" style="41" customWidth="1"/>
    <col min="29" max="29" width="11.453125" style="41" customWidth="1"/>
    <col min="30" max="31" width="8.81640625" style="41" customWidth="1"/>
    <col min="32" max="16384" width="8.81640625" style="41"/>
  </cols>
  <sheetData>
    <row r="2" spans="1:31" ht="30" customHeight="1" x14ac:dyDescent="0.55000000000000004">
      <c r="A2" s="64"/>
      <c r="B2" s="76" t="s">
        <v>43</v>
      </c>
      <c r="C2" s="179"/>
      <c r="D2" s="72"/>
      <c r="E2" s="72"/>
      <c r="F2" s="72"/>
      <c r="G2" s="72"/>
      <c r="H2" s="73"/>
      <c r="I2" s="73"/>
      <c r="J2" s="73"/>
      <c r="K2" s="73"/>
      <c r="L2" s="73"/>
      <c r="M2" s="73"/>
      <c r="N2" s="73"/>
      <c r="O2" s="73"/>
      <c r="P2" s="73"/>
      <c r="Q2" s="73"/>
      <c r="R2" s="73"/>
      <c r="S2" s="73"/>
      <c r="T2" s="73"/>
      <c r="U2" s="73"/>
      <c r="V2" s="73"/>
      <c r="W2" s="74"/>
      <c r="X2" s="74"/>
      <c r="Y2" s="74" t="str">
        <f>'📝 Instructions'!E4&amp;" |Aswini Bajaj"</f>
        <v>FRM P-2 |Aswini Bajaj</v>
      </c>
    </row>
    <row r="3" spans="1:31" ht="11.25" customHeight="1" x14ac:dyDescent="0.3">
      <c r="B3" s="63"/>
      <c r="C3" s="180"/>
      <c r="D3" s="63"/>
      <c r="E3" s="63"/>
      <c r="F3" s="63"/>
      <c r="G3" s="63"/>
      <c r="H3" s="63"/>
      <c r="I3" s="63"/>
    </row>
    <row r="4" spans="1:31" ht="20.149999999999999" customHeight="1" x14ac:dyDescent="0.3">
      <c r="B4" s="283" t="s">
        <v>94</v>
      </c>
      <c r="C4" s="283"/>
      <c r="D4" s="283"/>
      <c r="E4" s="283"/>
      <c r="F4" s="283"/>
      <c r="G4" s="283"/>
      <c r="H4" s="283"/>
      <c r="I4" s="283"/>
      <c r="J4" s="283"/>
      <c r="K4" s="283"/>
      <c r="L4" s="283"/>
      <c r="M4" s="283"/>
      <c r="N4" s="283"/>
      <c r="O4" s="283"/>
      <c r="P4" s="284" t="s">
        <v>7</v>
      </c>
      <c r="Q4" s="285"/>
      <c r="R4" s="46">
        <f>SUM(Master_Data[Duration (hh:mm)])</f>
        <v>8.5463425925925947</v>
      </c>
      <c r="S4" s="47">
        <v>1</v>
      </c>
      <c r="T4" s="48">
        <f>COUNTA(Master_Data[Lectures])</f>
        <v>103</v>
      </c>
      <c r="U4" s="48">
        <f>COUNTA(Master_Data[Self Study])</f>
        <v>103</v>
      </c>
      <c r="V4" s="48">
        <f>COUNTA(Master_Data[Revision])</f>
        <v>103</v>
      </c>
      <c r="W4" s="48">
        <f>COUNTA(Master_Data[Prac. Book])</f>
        <v>103</v>
      </c>
      <c r="X4" s="48">
        <f>COUNTA(Master_Data[GARP EOC Ques.])</f>
        <v>103</v>
      </c>
      <c r="Y4" s="48">
        <v>5</v>
      </c>
      <c r="AA4" s="69"/>
    </row>
    <row r="5" spans="1:31" ht="20.149999999999999" customHeight="1" x14ac:dyDescent="0.3">
      <c r="B5" s="283"/>
      <c r="C5" s="283"/>
      <c r="D5" s="283"/>
      <c r="E5" s="283"/>
      <c r="F5" s="283"/>
      <c r="G5" s="283"/>
      <c r="H5" s="283"/>
      <c r="I5" s="283"/>
      <c r="J5" s="283"/>
      <c r="K5" s="283"/>
      <c r="L5" s="283"/>
      <c r="M5" s="283"/>
      <c r="N5" s="283"/>
      <c r="O5" s="283"/>
      <c r="P5" s="284" t="s">
        <v>30</v>
      </c>
      <c r="Q5" s="285"/>
      <c r="R5" s="46">
        <f>SUMIF(Master_Data[Lectures],"d",Master_Data[Duration (hh:mm)])</f>
        <v>0</v>
      </c>
      <c r="S5" s="47">
        <f>R5/R4</f>
        <v>0</v>
      </c>
      <c r="T5" s="49">
        <f>COUNTIF(Master_Data[Lectures],"d")</f>
        <v>0</v>
      </c>
      <c r="U5" s="49">
        <f>COUNTIF(Master_Data[Self Study],"d")</f>
        <v>0</v>
      </c>
      <c r="V5" s="49">
        <f>COUNTIF(Master_Data[Revision],"d")</f>
        <v>0</v>
      </c>
      <c r="W5" s="49">
        <f>COUNTIF(Master_Data[Prac. Book],"d")</f>
        <v>0</v>
      </c>
      <c r="X5" s="49">
        <f>COUNTIF(Master_Data[GARP EOC Ques.],"d")</f>
        <v>0</v>
      </c>
      <c r="Y5" s="49">
        <f>SUMPRODUCT(Master_Data[Confidence Level],Master_Data[Total weights])</f>
        <v>3.0734875619449462</v>
      </c>
      <c r="AA5" s="69"/>
    </row>
    <row r="6" spans="1:31" ht="20.149999999999999" customHeight="1" x14ac:dyDescent="0.3">
      <c r="B6" s="65"/>
      <c r="C6" s="181"/>
      <c r="D6" s="65"/>
      <c r="E6" s="65"/>
      <c r="F6" s="65"/>
      <c r="G6" s="65"/>
      <c r="H6" s="65"/>
      <c r="I6" s="63"/>
      <c r="J6" s="66" t="s">
        <v>85</v>
      </c>
      <c r="K6" s="67">
        <f>AVERAGE(Master_Data[No. of LOS])</f>
        <v>5.7475728155339807</v>
      </c>
      <c r="L6" s="67">
        <f>AVERAGE(Master_Data[Lengthy])</f>
        <v>2.8446601941747574</v>
      </c>
      <c r="M6" s="67">
        <f>AVERAGE(Master_Data[Numerical or Not])</f>
        <v>1.825242718446602</v>
      </c>
      <c r="N6" s="67">
        <f>AVERAGE(Master_Data[Diff. Level])</f>
        <v>3.0679611650485437</v>
      </c>
      <c r="O6" s="67">
        <f>AVERAGE(Master_Data[Confusing])</f>
        <v>3.2815533980582523</v>
      </c>
      <c r="P6" s="67">
        <f>AVERAGE(Master_Data[Imp. Level])</f>
        <v>3.4563106796116503</v>
      </c>
      <c r="Q6" s="67">
        <f>AVERAGE(Master_Data[Reqd. Prac.])</f>
        <v>3.1553398058252426</v>
      </c>
      <c r="R6" s="68">
        <f>AVERAGE(Master_Data[Duration (hh:mm)])</f>
        <v>8.2974199928083442E-2</v>
      </c>
      <c r="U6" s="55"/>
    </row>
    <row r="7" spans="1:31" ht="20.149999999999999" customHeight="1" x14ac:dyDescent="0.3">
      <c r="B7" s="10">
        <v>1</v>
      </c>
      <c r="C7" s="10">
        <v>2</v>
      </c>
      <c r="D7" s="10"/>
      <c r="E7" s="10"/>
      <c r="F7" s="10"/>
      <c r="G7" s="10">
        <v>3</v>
      </c>
      <c r="H7" s="10">
        <v>4</v>
      </c>
      <c r="I7" s="10"/>
      <c r="J7" s="10">
        <v>5</v>
      </c>
      <c r="K7" s="10">
        <v>6</v>
      </c>
      <c r="L7" s="10">
        <v>7</v>
      </c>
      <c r="M7" s="10">
        <v>8</v>
      </c>
      <c r="N7" s="10">
        <v>9</v>
      </c>
      <c r="O7" s="10">
        <v>10</v>
      </c>
      <c r="P7" s="10">
        <v>11</v>
      </c>
      <c r="Q7" s="10">
        <v>12</v>
      </c>
      <c r="R7" s="10">
        <v>13</v>
      </c>
      <c r="S7" s="10">
        <v>14</v>
      </c>
      <c r="T7" s="10">
        <v>15</v>
      </c>
      <c r="U7" s="10">
        <v>16</v>
      </c>
      <c r="V7" s="10">
        <v>17</v>
      </c>
      <c r="W7" s="10">
        <v>18</v>
      </c>
      <c r="X7" s="10">
        <v>19</v>
      </c>
      <c r="Y7" s="10">
        <v>20</v>
      </c>
      <c r="Z7" s="10">
        <v>21</v>
      </c>
      <c r="AA7" s="1"/>
      <c r="AB7" s="1"/>
      <c r="AC7" s="1"/>
    </row>
    <row r="8" spans="1:31" s="29" customFormat="1" ht="46.5" x14ac:dyDescent="0.35">
      <c r="B8" s="75" t="s">
        <v>10</v>
      </c>
      <c r="C8" s="75" t="s">
        <v>135</v>
      </c>
      <c r="D8" s="75" t="s">
        <v>119</v>
      </c>
      <c r="E8" s="75" t="s">
        <v>116</v>
      </c>
      <c r="F8" s="75" t="s">
        <v>117</v>
      </c>
      <c r="G8" s="75" t="s">
        <v>3</v>
      </c>
      <c r="H8" s="75" t="s">
        <v>4</v>
      </c>
      <c r="I8" s="8" t="s">
        <v>95</v>
      </c>
      <c r="J8" s="8" t="s">
        <v>5</v>
      </c>
      <c r="K8" s="8" t="s">
        <v>64</v>
      </c>
      <c r="L8" s="8" t="s">
        <v>86</v>
      </c>
      <c r="M8" s="8" t="s">
        <v>87</v>
      </c>
      <c r="N8" s="8" t="s">
        <v>88</v>
      </c>
      <c r="O8" s="8" t="s">
        <v>62</v>
      </c>
      <c r="P8" s="8" t="s">
        <v>89</v>
      </c>
      <c r="Q8" s="8" t="s">
        <v>90</v>
      </c>
      <c r="R8" s="8" t="s">
        <v>28</v>
      </c>
      <c r="S8" s="8" t="s">
        <v>91</v>
      </c>
      <c r="T8" s="8" t="s">
        <v>21</v>
      </c>
      <c r="U8" s="8" t="s">
        <v>22</v>
      </c>
      <c r="V8" s="8" t="s">
        <v>23</v>
      </c>
      <c r="W8" s="8" t="s">
        <v>92</v>
      </c>
      <c r="X8" s="8" t="s">
        <v>206</v>
      </c>
      <c r="Y8" s="8" t="s">
        <v>98</v>
      </c>
      <c r="Z8" s="8" t="s">
        <v>84</v>
      </c>
      <c r="AA8" s="8" t="s">
        <v>101</v>
      </c>
      <c r="AB8" s="8" t="s">
        <v>102</v>
      </c>
      <c r="AC8" s="8" t="s">
        <v>103</v>
      </c>
      <c r="AD8" s="8" t="s">
        <v>17</v>
      </c>
      <c r="AE8" s="8" t="s">
        <v>99</v>
      </c>
    </row>
    <row r="9" spans="1:31" ht="27" customHeight="1" x14ac:dyDescent="0.3">
      <c r="B9" s="3">
        <v>1</v>
      </c>
      <c r="C9" s="182" t="str">
        <f ca="1">IF(Master_Data[[#This Row],[Column1]]=0,"",IF(Master_Data[[#This Row],[Column1]]=1,"Current Week",CONCATENATE("Week ",Master_Data[[#This Row],[Column1]])))</f>
        <v>Current Week</v>
      </c>
      <c r="D9" s="3">
        <f ca="1">ROUNDUP(Master_Data[[#This Row],[Column2]]/Working!$C$8,0)</f>
        <v>1</v>
      </c>
      <c r="E9" s="15">
        <f>SUM($F$9:F9)</f>
        <v>6.2037037037037036E-2</v>
      </c>
      <c r="F9" s="27">
        <f>IF(Master_Data[[#This Row],[Lectures]]="D","",Master_Data[[#This Row],[Duration (hh:mm)]])</f>
        <v>6.2037037037037036E-2</v>
      </c>
      <c r="G9" s="2" t="s">
        <v>227</v>
      </c>
      <c r="H9" s="2">
        <v>83</v>
      </c>
      <c r="I9" s="2" t="s">
        <v>96</v>
      </c>
      <c r="J9" s="45" t="s">
        <v>158</v>
      </c>
      <c r="K9" s="16">
        <v>6</v>
      </c>
      <c r="L9" s="44">
        <v>3</v>
      </c>
      <c r="M9" s="44">
        <v>3</v>
      </c>
      <c r="N9" s="44">
        <v>3</v>
      </c>
      <c r="O9" s="44">
        <v>4</v>
      </c>
      <c r="P9" s="44">
        <v>4</v>
      </c>
      <c r="Q9" s="44">
        <v>3</v>
      </c>
      <c r="R9" s="13">
        <v>6.2037037037037036E-2</v>
      </c>
      <c r="S9" s="43">
        <f>(SUM($R$9:R9)/$R$4)*100</f>
        <v>0.72588989225410461</v>
      </c>
      <c r="T9" s="28" t="s">
        <v>6</v>
      </c>
      <c r="U9" s="28" t="s">
        <v>6</v>
      </c>
      <c r="V9" s="28" t="s">
        <v>6</v>
      </c>
      <c r="W9" s="28" t="s">
        <v>6</v>
      </c>
      <c r="X9" s="28" t="s">
        <v>6</v>
      </c>
      <c r="Y9" s="158">
        <v>2</v>
      </c>
      <c r="Z9" s="18"/>
      <c r="AA9" s="173">
        <f>P9/SUM($P$9:$P$111)</f>
        <v>1.1235955056179775E-2</v>
      </c>
      <c r="AB9" s="174">
        <f>Master_Data[[#This Row],[Imp. Level]]/SUMIF(Master_Data[Subject],Master_Data[[#This Row],[Subject]],Master_Data[Imp. Level])</f>
        <v>0.10256410256410256</v>
      </c>
      <c r="AC9" s="157">
        <f>Master_Data[[#This Row],[Subjectwise weights]]*Master_Data[[#This Row],[Confidence Level]]</f>
        <v>0.20512820512820512</v>
      </c>
      <c r="AD9" s="274" t="str">
        <f>Master_Data[[#This Row],[Prac. Book]]</f>
        <v>U</v>
      </c>
      <c r="AE9" s="274" t="str">
        <f>Master_Data[[#This Row],[GARP EOC Ques.]]</f>
        <v>U</v>
      </c>
    </row>
    <row r="10" spans="1:31" ht="27" customHeight="1" x14ac:dyDescent="0.3">
      <c r="B10" s="3">
        <v>2</v>
      </c>
      <c r="C10" s="182" t="str">
        <f ca="1">IF(Master_Data[[#This Row],[Column1]]=0,"",IF(Master_Data[[#This Row],[Column1]]=1,"Current Week",CONCATENATE("Week ",Master_Data[[#This Row],[Column1]])))</f>
        <v>Current Week</v>
      </c>
      <c r="D10" s="3">
        <f ca="1">ROUNDUP(Master_Data[[#This Row],[Column2]]/Working!$C$8,0)</f>
        <v>1</v>
      </c>
      <c r="E10" s="15">
        <f>SUM($F$9:F10)</f>
        <v>0.14081018518518518</v>
      </c>
      <c r="F10" s="27">
        <f>IF(Master_Data[[#This Row],[Lectures]]="D","",Master_Data[[#This Row],[Duration (hh:mm)]])</f>
        <v>7.8773148148148148E-2</v>
      </c>
      <c r="G10" s="2" t="s">
        <v>227</v>
      </c>
      <c r="H10" s="2">
        <v>84</v>
      </c>
      <c r="I10" s="2" t="s">
        <v>96</v>
      </c>
      <c r="J10" s="45" t="s">
        <v>159</v>
      </c>
      <c r="K10" s="16">
        <v>5</v>
      </c>
      <c r="L10" s="44">
        <v>3</v>
      </c>
      <c r="M10" s="44">
        <v>1</v>
      </c>
      <c r="N10" s="44">
        <v>3</v>
      </c>
      <c r="O10" s="44">
        <v>4</v>
      </c>
      <c r="P10" s="44">
        <v>4</v>
      </c>
      <c r="Q10" s="44">
        <v>3</v>
      </c>
      <c r="R10" s="12">
        <v>7.8773148148148148E-2</v>
      </c>
      <c r="S10" s="43">
        <f>(SUM($R$9:R10)/$R$4)*100</f>
        <v>1.6476075427543726</v>
      </c>
      <c r="T10" s="28" t="s">
        <v>6</v>
      </c>
      <c r="U10" s="28" t="s">
        <v>6</v>
      </c>
      <c r="V10" s="28" t="s">
        <v>6</v>
      </c>
      <c r="W10" s="28" t="s">
        <v>6</v>
      </c>
      <c r="X10" s="28" t="s">
        <v>6</v>
      </c>
      <c r="Y10" s="158">
        <v>2</v>
      </c>
      <c r="Z10" s="17"/>
      <c r="AA10" s="173">
        <f>P10/SUM($P$9:$P$111)</f>
        <v>1.1235955056179775E-2</v>
      </c>
      <c r="AB10" s="174">
        <f>Master_Data[[#This Row],[Imp. Level]]/SUMIF(Master_Data[Subject],Master_Data[[#This Row],[Subject]],Master_Data[Imp. Level])</f>
        <v>0.10256410256410256</v>
      </c>
      <c r="AC10" s="157">
        <f>Master_Data[[#This Row],[Subjectwise weights]]*Master_Data[[#This Row],[Confidence Level]]</f>
        <v>0.20512820512820512</v>
      </c>
      <c r="AD10" s="274" t="str">
        <f>Master_Data[[#This Row],[Prac. Book]]</f>
        <v>U</v>
      </c>
      <c r="AE10" s="274" t="str">
        <f>Master_Data[[#This Row],[GARP EOC Ques.]]</f>
        <v>U</v>
      </c>
    </row>
    <row r="11" spans="1:31" ht="27" customHeight="1" x14ac:dyDescent="0.3">
      <c r="B11" s="3">
        <v>3</v>
      </c>
      <c r="C11" s="182" t="str">
        <f ca="1">IF(Master_Data[[#This Row],[Column1]]=0,"",IF(Master_Data[[#This Row],[Column1]]=1,"Current Week",CONCATENATE("Week ",Master_Data[[#This Row],[Column1]])))</f>
        <v>Current Week</v>
      </c>
      <c r="D11" s="3">
        <f ca="1">ROUNDUP(Master_Data[[#This Row],[Column2]]/Working!$C$8,0)</f>
        <v>1</v>
      </c>
      <c r="E11" s="15">
        <f>SUM($F$9:F11)</f>
        <v>0.21162037037037035</v>
      </c>
      <c r="F11" s="27">
        <f>IF(Master_Data[[#This Row],[Lectures]]="D","",Master_Data[[#This Row],[Duration (hh:mm)]])</f>
        <v>7.0810185185185184E-2</v>
      </c>
      <c r="G11" s="2" t="s">
        <v>227</v>
      </c>
      <c r="H11" s="2">
        <v>85</v>
      </c>
      <c r="I11" s="2" t="s">
        <v>96</v>
      </c>
      <c r="J11" s="45" t="s">
        <v>228</v>
      </c>
      <c r="K11" s="16">
        <v>9</v>
      </c>
      <c r="L11" s="44">
        <v>3</v>
      </c>
      <c r="M11" s="44">
        <v>3</v>
      </c>
      <c r="N11" s="44">
        <v>3</v>
      </c>
      <c r="O11" s="44">
        <v>4</v>
      </c>
      <c r="P11" s="44">
        <v>4</v>
      </c>
      <c r="Q11" s="44">
        <v>3</v>
      </c>
      <c r="R11" s="13">
        <v>7.0810185185185184E-2</v>
      </c>
      <c r="S11" s="43">
        <f>(SUM($R$9:R11)/$R$4)*100</f>
        <v>2.4761512667862027</v>
      </c>
      <c r="T11" s="28" t="s">
        <v>6</v>
      </c>
      <c r="U11" s="28" t="s">
        <v>6</v>
      </c>
      <c r="V11" s="28" t="s">
        <v>6</v>
      </c>
      <c r="W11" s="28" t="s">
        <v>6</v>
      </c>
      <c r="X11" s="28" t="s">
        <v>6</v>
      </c>
      <c r="Y11" s="158">
        <v>2</v>
      </c>
      <c r="Z11" s="17"/>
      <c r="AA11" s="173">
        <f>P11/SUM($P$9:$P$111)</f>
        <v>1.1235955056179775E-2</v>
      </c>
      <c r="AB11" s="174">
        <f>Master_Data[[#This Row],[Imp. Level]]/SUMIF(Master_Data[Subject],Master_Data[[#This Row],[Subject]],Master_Data[Imp. Level])</f>
        <v>0.10256410256410256</v>
      </c>
      <c r="AC11" s="157">
        <f>Master_Data[[#This Row],[Subjectwise weights]]*Master_Data[[#This Row],[Confidence Level]]</f>
        <v>0.20512820512820512</v>
      </c>
      <c r="AD11" s="274" t="str">
        <f>Master_Data[[#This Row],[Prac. Book]]</f>
        <v>U</v>
      </c>
      <c r="AE11" s="274" t="str">
        <f>Master_Data[[#This Row],[GARP EOC Ques.]]</f>
        <v>U</v>
      </c>
    </row>
    <row r="12" spans="1:31" ht="27" customHeight="1" x14ac:dyDescent="0.3">
      <c r="B12" s="3">
        <v>4</v>
      </c>
      <c r="C12" s="182" t="str">
        <f ca="1">IF(Master_Data[[#This Row],[Column1]]=0,"",IF(Master_Data[[#This Row],[Column1]]=1,"Current Week",CONCATENATE("Week ",Master_Data[[#This Row],[Column1]])))</f>
        <v>Week 2</v>
      </c>
      <c r="D12" s="3">
        <f ca="1">ROUNDUP(Master_Data[[#This Row],[Column2]]/Working!$C$8,0)</f>
        <v>2</v>
      </c>
      <c r="E12" s="15">
        <f>SUM($F$9:F12)</f>
        <v>0.28901620370370368</v>
      </c>
      <c r="F12" s="27">
        <f>IF(Master_Data[[#This Row],[Lectures]]="D","",Master_Data[[#This Row],[Duration (hh:mm)]])</f>
        <v>7.739583333333333E-2</v>
      </c>
      <c r="G12" s="2" t="s">
        <v>160</v>
      </c>
      <c r="H12" s="2">
        <v>1</v>
      </c>
      <c r="I12" s="2" t="s">
        <v>96</v>
      </c>
      <c r="J12" s="45" t="s">
        <v>229</v>
      </c>
      <c r="K12" s="16">
        <v>6</v>
      </c>
      <c r="L12" s="44">
        <v>4</v>
      </c>
      <c r="M12" s="44">
        <v>4</v>
      </c>
      <c r="N12" s="44">
        <v>4</v>
      </c>
      <c r="O12" s="44">
        <v>4</v>
      </c>
      <c r="P12" s="44">
        <v>4</v>
      </c>
      <c r="Q12" s="44">
        <v>4</v>
      </c>
      <c r="R12" s="11">
        <v>7.739583333333333E-2</v>
      </c>
      <c r="S12" s="43">
        <f>(SUM($R$9:R12)/$R$4)*100</f>
        <v>3.3817530782606795</v>
      </c>
      <c r="T12" s="28" t="s">
        <v>6</v>
      </c>
      <c r="U12" s="28" t="s">
        <v>6</v>
      </c>
      <c r="V12" s="28" t="s">
        <v>6</v>
      </c>
      <c r="W12" s="28" t="s">
        <v>6</v>
      </c>
      <c r="X12" s="28" t="s">
        <v>6</v>
      </c>
      <c r="Y12" s="158">
        <v>2</v>
      </c>
      <c r="Z12" s="17"/>
      <c r="AA12" s="173">
        <f>P12/SUM($P$9:$P$111)</f>
        <v>1.1235955056179775E-2</v>
      </c>
      <c r="AB12" s="174">
        <f>Master_Data[[#This Row],[Imp. Level]]/SUMIF(Master_Data[Subject],Master_Data[[#This Row],[Subject]],Master_Data[Imp. Level])</f>
        <v>6.7796610169491525E-2</v>
      </c>
      <c r="AC12" s="157">
        <f>Master_Data[[#This Row],[Subjectwise weights]]*Master_Data[[#This Row],[Confidence Level]]</f>
        <v>0.13559322033898305</v>
      </c>
      <c r="AD12" s="274" t="str">
        <f>Master_Data[[#This Row],[Prac. Book]]</f>
        <v>U</v>
      </c>
      <c r="AE12" s="274" t="str">
        <f>Master_Data[[#This Row],[GARP EOC Ques.]]</f>
        <v>U</v>
      </c>
    </row>
    <row r="13" spans="1:31" ht="27" customHeight="1" x14ac:dyDescent="0.3">
      <c r="B13" s="3">
        <v>5</v>
      </c>
      <c r="C13" s="182" t="str">
        <f ca="1">IF(Master_Data[[#This Row],[Column1]]=0,"",IF(Master_Data[[#This Row],[Column1]]=1,"Current Week",CONCATENATE("Week ",Master_Data[[#This Row],[Column1]])))</f>
        <v>Week 2</v>
      </c>
      <c r="D13" s="3">
        <f ca="1">ROUNDUP(Master_Data[[#This Row],[Column2]]/Working!$C$8,0)</f>
        <v>2</v>
      </c>
      <c r="E13" s="15">
        <f>SUM($F$9:F13)</f>
        <v>0.35091435185185182</v>
      </c>
      <c r="F13" s="27">
        <f>IF(Master_Data[[#This Row],[Lectures]]="D","",Master_Data[[#This Row],[Duration (hh:mm)]])</f>
        <v>6.1898148148148147E-2</v>
      </c>
      <c r="G13" s="2" t="s">
        <v>160</v>
      </c>
      <c r="H13" s="2">
        <v>2</v>
      </c>
      <c r="I13" s="2" t="s">
        <v>96</v>
      </c>
      <c r="J13" s="45" t="s">
        <v>230</v>
      </c>
      <c r="K13" s="16">
        <v>4</v>
      </c>
      <c r="L13" s="44">
        <v>3</v>
      </c>
      <c r="M13" s="44">
        <v>3</v>
      </c>
      <c r="N13" s="44">
        <v>4</v>
      </c>
      <c r="O13" s="44">
        <v>4</v>
      </c>
      <c r="P13" s="44">
        <v>4</v>
      </c>
      <c r="Q13" s="44">
        <v>3</v>
      </c>
      <c r="R13" s="13">
        <v>6.1898148148148147E-2</v>
      </c>
      <c r="S13" s="43">
        <f>(SUM($R$9:R13)/$R$4)*100</f>
        <v>4.106017843890335</v>
      </c>
      <c r="T13" s="28" t="s">
        <v>6</v>
      </c>
      <c r="U13" s="28" t="s">
        <v>6</v>
      </c>
      <c r="V13" s="28" t="s">
        <v>6</v>
      </c>
      <c r="W13" s="28" t="s">
        <v>6</v>
      </c>
      <c r="X13" s="28" t="s">
        <v>6</v>
      </c>
      <c r="Y13" s="158">
        <v>2</v>
      </c>
      <c r="Z13" s="17"/>
      <c r="AA13" s="173">
        <f>P13/SUM($P$9:$P$111)</f>
        <v>1.1235955056179775E-2</v>
      </c>
      <c r="AB13" s="174">
        <f>Master_Data[[#This Row],[Imp. Level]]/SUMIF(Master_Data[Subject],Master_Data[[#This Row],[Subject]],Master_Data[Imp. Level])</f>
        <v>6.7796610169491525E-2</v>
      </c>
      <c r="AC13" s="157">
        <f>Master_Data[[#This Row],[Subjectwise weights]]*Master_Data[[#This Row],[Confidence Level]]</f>
        <v>0.13559322033898305</v>
      </c>
      <c r="AD13" s="274" t="str">
        <f>Master_Data[[#This Row],[Prac. Book]]</f>
        <v>U</v>
      </c>
      <c r="AE13" s="274" t="str">
        <f>Master_Data[[#This Row],[GARP EOC Ques.]]</f>
        <v>U</v>
      </c>
    </row>
    <row r="14" spans="1:31" ht="27" customHeight="1" x14ac:dyDescent="0.3">
      <c r="B14" s="3">
        <v>6</v>
      </c>
      <c r="C14" s="182" t="str">
        <f ca="1">IF(Master_Data[[#This Row],[Column1]]=0,"",IF(Master_Data[[#This Row],[Column1]]=1,"Current Week",CONCATENATE("Week ",Master_Data[[#This Row],[Column1]])))</f>
        <v>Week 2</v>
      </c>
      <c r="D14" s="3">
        <f ca="1">ROUNDUP(Master_Data[[#This Row],[Column2]]/Working!$C$8,0)</f>
        <v>2</v>
      </c>
      <c r="E14" s="15">
        <f>SUM($F$9:F14)</f>
        <v>0.37707175925925923</v>
      </c>
      <c r="F14" s="27">
        <f>IF(Master_Data[[#This Row],[Lectures]]="D","",Master_Data[[#This Row],[Duration (hh:mm)]])</f>
        <v>2.6157407407407407E-2</v>
      </c>
      <c r="G14" s="2" t="s">
        <v>160</v>
      </c>
      <c r="H14" s="2">
        <v>3</v>
      </c>
      <c r="I14" s="2" t="s">
        <v>96</v>
      </c>
      <c r="J14" s="45" t="s">
        <v>231</v>
      </c>
      <c r="K14" s="16">
        <v>6</v>
      </c>
      <c r="L14" s="44">
        <v>2</v>
      </c>
      <c r="M14" s="44">
        <v>4</v>
      </c>
      <c r="N14" s="44">
        <v>5</v>
      </c>
      <c r="O14" s="44">
        <v>5</v>
      </c>
      <c r="P14" s="44">
        <v>3</v>
      </c>
      <c r="Q14" s="44">
        <v>3</v>
      </c>
      <c r="R14" s="13">
        <v>2.6157407407407407E-2</v>
      </c>
      <c r="S14" s="43">
        <f>(SUM($R$9:R14)/$R$4)*100</f>
        <v>4.412083358161655</v>
      </c>
      <c r="T14" s="28" t="s">
        <v>6</v>
      </c>
      <c r="U14" s="28" t="s">
        <v>6</v>
      </c>
      <c r="V14" s="28" t="s">
        <v>6</v>
      </c>
      <c r="W14" s="28" t="s">
        <v>6</v>
      </c>
      <c r="X14" s="28" t="s">
        <v>6</v>
      </c>
      <c r="Y14" s="158">
        <v>3</v>
      </c>
      <c r="Z14" s="17"/>
      <c r="AA14" s="173">
        <f>P14/SUM($P$9:$P$111)</f>
        <v>8.4269662921348312E-3</v>
      </c>
      <c r="AB14" s="174">
        <f>Master_Data[[#This Row],[Imp. Level]]/SUMIF(Master_Data[Subject],Master_Data[[#This Row],[Subject]],Master_Data[Imp. Level])</f>
        <v>5.0847457627118647E-2</v>
      </c>
      <c r="AC14" s="157">
        <f>Master_Data[[#This Row],[Subjectwise weights]]*Master_Data[[#This Row],[Confidence Level]]</f>
        <v>0.15254237288135594</v>
      </c>
      <c r="AD14" s="274" t="str">
        <f>Master_Data[[#This Row],[Prac. Book]]</f>
        <v>U</v>
      </c>
      <c r="AE14" s="274" t="str">
        <f>Master_Data[[#This Row],[GARP EOC Ques.]]</f>
        <v>U</v>
      </c>
    </row>
    <row r="15" spans="1:31" ht="27" customHeight="1" x14ac:dyDescent="0.3">
      <c r="B15" s="3">
        <v>7</v>
      </c>
      <c r="C15" s="182" t="str">
        <f ca="1">IF(Master_Data[[#This Row],[Column1]]=0,"",IF(Master_Data[[#This Row],[Column1]]=1,"Current Week",CONCATENATE("Week ",Master_Data[[#This Row],[Column1]])))</f>
        <v>Week 2</v>
      </c>
      <c r="D15" s="3">
        <f ca="1">ROUNDUP(Master_Data[[#This Row],[Column2]]/Working!$C$8,0)</f>
        <v>2</v>
      </c>
      <c r="E15" s="15">
        <f>SUM($F$9:F15)</f>
        <v>0.44600694444444444</v>
      </c>
      <c r="F15" s="27">
        <f>IF(Master_Data[[#This Row],[Lectures]]="D","",Master_Data[[#This Row],[Duration (hh:mm)]])</f>
        <v>6.8935185185185183E-2</v>
      </c>
      <c r="G15" s="2" t="s">
        <v>160</v>
      </c>
      <c r="H15" s="2">
        <v>4</v>
      </c>
      <c r="I15" s="2" t="s">
        <v>96</v>
      </c>
      <c r="J15" s="45" t="s">
        <v>161</v>
      </c>
      <c r="K15" s="16">
        <v>6</v>
      </c>
      <c r="L15" s="44">
        <v>4</v>
      </c>
      <c r="M15" s="44">
        <v>3</v>
      </c>
      <c r="N15" s="44">
        <v>4</v>
      </c>
      <c r="O15" s="44">
        <v>5</v>
      </c>
      <c r="P15" s="44">
        <v>5</v>
      </c>
      <c r="Q15" s="44">
        <v>4</v>
      </c>
      <c r="R15" s="11">
        <v>6.8935185185185183E-2</v>
      </c>
      <c r="S15" s="43">
        <f>(SUM($R$9:R15)/$R$4)*100</f>
        <v>5.2186878727634181</v>
      </c>
      <c r="T15" s="28" t="s">
        <v>6</v>
      </c>
      <c r="U15" s="28" t="s">
        <v>6</v>
      </c>
      <c r="V15" s="28" t="s">
        <v>6</v>
      </c>
      <c r="W15" s="28" t="s">
        <v>6</v>
      </c>
      <c r="X15" s="28" t="s">
        <v>6</v>
      </c>
      <c r="Y15" s="158">
        <v>2</v>
      </c>
      <c r="Z15" s="17"/>
      <c r="AA15" s="173">
        <f>P15/SUM($P$9:$P$111)</f>
        <v>1.4044943820224719E-2</v>
      </c>
      <c r="AB15" s="174">
        <f>Master_Data[[#This Row],[Imp. Level]]/SUMIF(Master_Data[Subject],Master_Data[[#This Row],[Subject]],Master_Data[Imp. Level])</f>
        <v>8.4745762711864403E-2</v>
      </c>
      <c r="AC15" s="157">
        <f>Master_Data[[#This Row],[Subjectwise weights]]*Master_Data[[#This Row],[Confidence Level]]</f>
        <v>0.16949152542372881</v>
      </c>
      <c r="AD15" s="274" t="str">
        <f>Master_Data[[#This Row],[Prac. Book]]</f>
        <v>U</v>
      </c>
      <c r="AE15" s="274" t="str">
        <f>Master_Data[[#This Row],[GARP EOC Ques.]]</f>
        <v>U</v>
      </c>
    </row>
    <row r="16" spans="1:31" ht="27" customHeight="1" x14ac:dyDescent="0.3">
      <c r="B16" s="3">
        <v>8</v>
      </c>
      <c r="C16" s="182" t="str">
        <f ca="1">IF(Master_Data[[#This Row],[Column1]]=0,"",IF(Master_Data[[#This Row],[Column1]]=1,"Current Week",CONCATENATE("Week ",Master_Data[[#This Row],[Column1]])))</f>
        <v>Week 2</v>
      </c>
      <c r="D16" s="3">
        <f ca="1">ROUNDUP(Master_Data[[#This Row],[Column2]]/Working!$C$8,0)</f>
        <v>2</v>
      </c>
      <c r="E16" s="15">
        <f>SUM($F$9:F16)</f>
        <v>0.52038194444444441</v>
      </c>
      <c r="F16" s="27">
        <f>IF(Master_Data[[#This Row],[Lectures]]="D","",Master_Data[[#This Row],[Duration (hh:mm)]])</f>
        <v>7.4375000000000011E-2</v>
      </c>
      <c r="G16" s="2" t="s">
        <v>160</v>
      </c>
      <c r="H16" s="2">
        <v>5</v>
      </c>
      <c r="I16" s="2" t="s">
        <v>96</v>
      </c>
      <c r="J16" s="45" t="s">
        <v>162</v>
      </c>
      <c r="K16" s="16">
        <v>7</v>
      </c>
      <c r="L16" s="44">
        <v>4</v>
      </c>
      <c r="M16" s="44">
        <v>3</v>
      </c>
      <c r="N16" s="44">
        <v>4</v>
      </c>
      <c r="O16" s="44">
        <v>4</v>
      </c>
      <c r="P16" s="44">
        <v>4</v>
      </c>
      <c r="Q16" s="44">
        <v>3</v>
      </c>
      <c r="R16" s="13">
        <v>7.4375000000000011E-2</v>
      </c>
      <c r="S16" s="43">
        <f>(SUM($R$9:R16)/$R$4)*100</f>
        <v>6.0889431801561189</v>
      </c>
      <c r="T16" s="28" t="s">
        <v>6</v>
      </c>
      <c r="U16" s="28" t="s">
        <v>6</v>
      </c>
      <c r="V16" s="28" t="s">
        <v>6</v>
      </c>
      <c r="W16" s="28" t="s">
        <v>6</v>
      </c>
      <c r="X16" s="28" t="s">
        <v>6</v>
      </c>
      <c r="Y16" s="158">
        <v>2</v>
      </c>
      <c r="Z16" s="17"/>
      <c r="AA16" s="173">
        <f>P16/SUM($P$9:$P$70)</f>
        <v>1.7467248908296942E-2</v>
      </c>
      <c r="AB16" s="174">
        <f>Master_Data[[#This Row],[Imp. Level]]/SUMIF(Master_Data[Subject],Master_Data[[#This Row],[Subject]],Master_Data[Imp. Level])</f>
        <v>6.7796610169491525E-2</v>
      </c>
      <c r="AC16" s="157">
        <f>Master_Data[[#This Row],[Subjectwise weights]]*Master_Data[[#This Row],[Confidence Level]]</f>
        <v>0.13559322033898305</v>
      </c>
      <c r="AD16" s="274" t="str">
        <f>Master_Data[[#This Row],[Prac. Book]]</f>
        <v>U</v>
      </c>
      <c r="AE16" s="274" t="str">
        <f>Master_Data[[#This Row],[GARP EOC Ques.]]</f>
        <v>U</v>
      </c>
    </row>
    <row r="17" spans="2:66" s="42" customFormat="1" ht="27" customHeight="1" x14ac:dyDescent="0.3">
      <c r="B17" s="3">
        <v>9</v>
      </c>
      <c r="C17" s="182" t="str">
        <f ca="1">IF(Master_Data[[#This Row],[Column1]]=0,"",IF(Master_Data[[#This Row],[Column1]]=1,"Current Week",CONCATENATE("Week ",Master_Data[[#This Row],[Column1]])))</f>
        <v>Week 2</v>
      </c>
      <c r="D17" s="3">
        <f ca="1">ROUNDUP(Master_Data[[#This Row],[Column2]]/Working!$C$8,0)</f>
        <v>2</v>
      </c>
      <c r="E17" s="15">
        <f>SUM($F$9:F17)</f>
        <v>0.56010416666666663</v>
      </c>
      <c r="F17" s="27">
        <f>IF(Master_Data[[#This Row],[Lectures]]="D","",Master_Data[[#This Row],[Duration (hh:mm)]])</f>
        <v>3.9722222222222221E-2</v>
      </c>
      <c r="G17" s="2" t="s">
        <v>160</v>
      </c>
      <c r="H17" s="2">
        <v>6</v>
      </c>
      <c r="I17" s="2" t="s">
        <v>96</v>
      </c>
      <c r="J17" s="271" t="s">
        <v>232</v>
      </c>
      <c r="K17" s="16">
        <v>6</v>
      </c>
      <c r="L17" s="44">
        <v>2</v>
      </c>
      <c r="M17" s="44">
        <v>1</v>
      </c>
      <c r="N17" s="44">
        <v>3</v>
      </c>
      <c r="O17" s="44">
        <v>3</v>
      </c>
      <c r="P17" s="44">
        <v>3</v>
      </c>
      <c r="Q17" s="44">
        <v>3</v>
      </c>
      <c r="R17" s="13">
        <v>3.9722222222222221E-2</v>
      </c>
      <c r="S17" s="43">
        <f>(SUM($R$9:R17)/$R$4)*100</f>
        <v>6.5537293947486726</v>
      </c>
      <c r="T17" s="28" t="s">
        <v>6</v>
      </c>
      <c r="U17" s="28" t="s">
        <v>6</v>
      </c>
      <c r="V17" s="28" t="s">
        <v>6</v>
      </c>
      <c r="W17" s="28" t="s">
        <v>6</v>
      </c>
      <c r="X17" s="28" t="s">
        <v>6</v>
      </c>
      <c r="Y17" s="158">
        <v>3</v>
      </c>
      <c r="Z17" s="17"/>
      <c r="AA17" s="173">
        <f>P17/SUM($P$9:$P$70)</f>
        <v>1.3100436681222707E-2</v>
      </c>
      <c r="AB17" s="174">
        <f>Master_Data[[#This Row],[Imp. Level]]/SUMIF(Master_Data[Subject],Master_Data[[#This Row],[Subject]],Master_Data[Imp. Level])</f>
        <v>5.0847457627118647E-2</v>
      </c>
      <c r="AC17" s="157">
        <f>Master_Data[[#This Row],[Subjectwise weights]]*Master_Data[[#This Row],[Confidence Level]]</f>
        <v>0.15254237288135594</v>
      </c>
      <c r="AD17" s="274" t="str">
        <f>Master_Data[[#This Row],[Prac. Book]]</f>
        <v>U</v>
      </c>
      <c r="AE17" s="274" t="str">
        <f>Master_Data[[#This Row],[GARP EOC Ques.]]</f>
        <v>U</v>
      </c>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row>
    <row r="18" spans="2:66" ht="27" customHeight="1" x14ac:dyDescent="0.3">
      <c r="B18" s="3">
        <v>10</v>
      </c>
      <c r="C18" s="182" t="str">
        <f ca="1">IF(Master_Data[[#This Row],[Column1]]=0,"",IF(Master_Data[[#This Row],[Column1]]=1,"Current Week",CONCATENATE("Week ",Master_Data[[#This Row],[Column1]])))</f>
        <v>Week 3</v>
      </c>
      <c r="D18" s="3">
        <f ca="1">ROUNDUP(Master_Data[[#This Row],[Column2]]/Working!$C$8,0)</f>
        <v>3</v>
      </c>
      <c r="E18" s="15">
        <f>SUM($F$9:F18)</f>
        <v>0.6576157407407407</v>
      </c>
      <c r="F18" s="27">
        <f>IF(Master_Data[[#This Row],[Lectures]]="D","",Master_Data[[#This Row],[Duration (hh:mm)]])</f>
        <v>9.751157407407407E-2</v>
      </c>
      <c r="G18" s="2" t="s">
        <v>227</v>
      </c>
      <c r="H18" s="2">
        <v>86</v>
      </c>
      <c r="I18" s="2" t="s">
        <v>96</v>
      </c>
      <c r="J18" s="45" t="s">
        <v>163</v>
      </c>
      <c r="K18" s="16">
        <v>9</v>
      </c>
      <c r="L18" s="44">
        <v>3</v>
      </c>
      <c r="M18" s="44">
        <v>2</v>
      </c>
      <c r="N18" s="44">
        <v>5</v>
      </c>
      <c r="O18" s="44">
        <v>5</v>
      </c>
      <c r="P18" s="44">
        <v>3</v>
      </c>
      <c r="Q18" s="44">
        <v>3</v>
      </c>
      <c r="R18" s="12">
        <v>9.751157407407407E-2</v>
      </c>
      <c r="S18" s="43">
        <f>(SUM($R$9:R18)/$R$4)*100</f>
        <v>7.6947037123309165</v>
      </c>
      <c r="T18" s="28" t="s">
        <v>6</v>
      </c>
      <c r="U18" s="28" t="s">
        <v>6</v>
      </c>
      <c r="V18" s="28" t="s">
        <v>6</v>
      </c>
      <c r="W18" s="28" t="s">
        <v>6</v>
      </c>
      <c r="X18" s="28" t="s">
        <v>6</v>
      </c>
      <c r="Y18" s="158">
        <v>3</v>
      </c>
      <c r="Z18" s="17"/>
      <c r="AA18" s="173">
        <f>P18/SUM($P$9:$P$70)</f>
        <v>1.3100436681222707E-2</v>
      </c>
      <c r="AB18" s="174">
        <f>Master_Data[[#This Row],[Imp. Level]]/SUMIF(Master_Data[Subject],Master_Data[[#This Row],[Subject]],Master_Data[Imp. Level])</f>
        <v>7.6923076923076927E-2</v>
      </c>
      <c r="AC18" s="157">
        <f>Master_Data[[#This Row],[Subjectwise weights]]*Master_Data[[#This Row],[Confidence Level]]</f>
        <v>0.23076923076923078</v>
      </c>
      <c r="AD18" s="274" t="str">
        <f>Master_Data[[#This Row],[Prac. Book]]</f>
        <v>U</v>
      </c>
      <c r="AE18" s="274" t="str">
        <f>Master_Data[[#This Row],[GARP EOC Ques.]]</f>
        <v>U</v>
      </c>
    </row>
    <row r="19" spans="2:66" ht="27" customHeight="1" x14ac:dyDescent="0.3">
      <c r="B19" s="3">
        <v>11</v>
      </c>
      <c r="C19" s="182" t="str">
        <f ca="1">IF(Master_Data[[#This Row],[Column1]]=0,"",IF(Master_Data[[#This Row],[Column1]]=1,"Current Week",CONCATENATE("Week ",Master_Data[[#This Row],[Column1]])))</f>
        <v>Week 3</v>
      </c>
      <c r="D19" s="3">
        <f ca="1">ROUNDUP(Master_Data[[#This Row],[Column2]]/Working!$C$8,0)</f>
        <v>3</v>
      </c>
      <c r="E19" s="15">
        <f>SUM($F$9:F19)</f>
        <v>0.74195601851851845</v>
      </c>
      <c r="F19" s="27">
        <f>IF(Master_Data[[#This Row],[Lectures]]="D","",Master_Data[[#This Row],[Duration (hh:mm)]])</f>
        <v>8.4340277777777764E-2</v>
      </c>
      <c r="G19" s="2" t="s">
        <v>227</v>
      </c>
      <c r="H19" s="2">
        <v>87</v>
      </c>
      <c r="I19" s="2" t="s">
        <v>96</v>
      </c>
      <c r="J19" s="45" t="s">
        <v>233</v>
      </c>
      <c r="K19" s="16">
        <v>5</v>
      </c>
      <c r="L19" s="44">
        <v>3</v>
      </c>
      <c r="M19" s="44">
        <v>4</v>
      </c>
      <c r="N19" s="44">
        <v>4</v>
      </c>
      <c r="O19" s="44">
        <v>4</v>
      </c>
      <c r="P19" s="44">
        <v>5</v>
      </c>
      <c r="Q19" s="44">
        <v>4</v>
      </c>
      <c r="R19" s="11">
        <v>8.4340277777777764E-2</v>
      </c>
      <c r="S19" s="43">
        <f>(SUM($R$9:R19)/$R$4)*100</f>
        <v>8.6815618550278675</v>
      </c>
      <c r="T19" s="28" t="s">
        <v>6</v>
      </c>
      <c r="U19" s="28" t="s">
        <v>6</v>
      </c>
      <c r="V19" s="28" t="s">
        <v>6</v>
      </c>
      <c r="W19" s="28" t="s">
        <v>6</v>
      </c>
      <c r="X19" s="28" t="s">
        <v>6</v>
      </c>
      <c r="Y19" s="158">
        <v>2</v>
      </c>
      <c r="Z19" s="17"/>
      <c r="AA19" s="173">
        <f>P19/SUM($P$9:$P$111)</f>
        <v>1.4044943820224719E-2</v>
      </c>
      <c r="AB19" s="174">
        <f>Master_Data[[#This Row],[Imp. Level]]/SUMIF(Master_Data[Subject],Master_Data[[#This Row],[Subject]],Master_Data[Imp. Level])</f>
        <v>0.12820512820512819</v>
      </c>
      <c r="AC19" s="157">
        <f>Master_Data[[#This Row],[Subjectwise weights]]*Master_Data[[#This Row],[Confidence Level]]</f>
        <v>0.25641025641025639</v>
      </c>
      <c r="AD19" s="274" t="str">
        <f>Master_Data[[#This Row],[Prac. Book]]</f>
        <v>U</v>
      </c>
      <c r="AE19" s="274" t="str">
        <f>Master_Data[[#This Row],[GARP EOC Ques.]]</f>
        <v>U</v>
      </c>
    </row>
    <row r="20" spans="2:66" ht="27" customHeight="1" x14ac:dyDescent="0.3">
      <c r="B20" s="3">
        <v>12</v>
      </c>
      <c r="C20" s="182" t="str">
        <f ca="1">IF(Master_Data[[#This Row],[Column1]]=0,"",IF(Master_Data[[#This Row],[Column1]]=1,"Current Week",CONCATENATE("Week ",Master_Data[[#This Row],[Column1]])))</f>
        <v>Week 3</v>
      </c>
      <c r="D20" s="3">
        <f ca="1">ROUNDUP(Master_Data[[#This Row],[Column2]]/Working!$C$8,0)</f>
        <v>3</v>
      </c>
      <c r="E20" s="15">
        <f>SUM($F$9:F20)</f>
        <v>0.84715277777777764</v>
      </c>
      <c r="F20" s="27">
        <f>IF(Master_Data[[#This Row],[Lectures]]="D","",Master_Data[[#This Row],[Duration (hh:mm)]])</f>
        <v>0.10519675925925925</v>
      </c>
      <c r="G20" s="2" t="s">
        <v>227</v>
      </c>
      <c r="H20" s="2">
        <v>88</v>
      </c>
      <c r="I20" s="2" t="s">
        <v>96</v>
      </c>
      <c r="J20" s="45" t="s">
        <v>164</v>
      </c>
      <c r="K20" s="16">
        <v>8</v>
      </c>
      <c r="L20" s="44">
        <v>3</v>
      </c>
      <c r="M20" s="44">
        <v>2</v>
      </c>
      <c r="N20" s="44">
        <v>3</v>
      </c>
      <c r="O20" s="44">
        <v>4</v>
      </c>
      <c r="P20" s="44">
        <v>4</v>
      </c>
      <c r="Q20" s="44">
        <v>3</v>
      </c>
      <c r="R20" s="12">
        <v>0.10519675925925925</v>
      </c>
      <c r="S20" s="43">
        <f>(SUM($R$9:R20)/$R$4)*100</f>
        <v>9.91245984582965</v>
      </c>
      <c r="T20" s="28" t="s">
        <v>6</v>
      </c>
      <c r="U20" s="28" t="s">
        <v>6</v>
      </c>
      <c r="V20" s="28" t="s">
        <v>6</v>
      </c>
      <c r="W20" s="28" t="s">
        <v>6</v>
      </c>
      <c r="X20" s="28" t="s">
        <v>6</v>
      </c>
      <c r="Y20" s="158">
        <v>2</v>
      </c>
      <c r="Z20" s="17"/>
      <c r="AA20" s="173">
        <f>P20/SUM($P$9:$P$111)</f>
        <v>1.1235955056179775E-2</v>
      </c>
      <c r="AB20" s="174">
        <f>Master_Data[[#This Row],[Imp. Level]]/SUMIF(Master_Data[Subject],Master_Data[[#This Row],[Subject]],Master_Data[Imp. Level])</f>
        <v>0.10256410256410256</v>
      </c>
      <c r="AC20" s="157">
        <f>Master_Data[[#This Row],[Subjectwise weights]]*Master_Data[[#This Row],[Confidence Level]]</f>
        <v>0.20512820512820512</v>
      </c>
      <c r="AD20" s="274" t="str">
        <f>Master_Data[[#This Row],[Prac. Book]]</f>
        <v>U</v>
      </c>
      <c r="AE20" s="274" t="str">
        <f>Master_Data[[#This Row],[GARP EOC Ques.]]</f>
        <v>U</v>
      </c>
    </row>
    <row r="21" spans="2:66" ht="27" customHeight="1" x14ac:dyDescent="0.3">
      <c r="B21" s="3">
        <v>13</v>
      </c>
      <c r="C21" s="182" t="str">
        <f ca="1">IF(Master_Data[[#This Row],[Column1]]=0,"",IF(Master_Data[[#This Row],[Column1]]=1,"Current Week",CONCATENATE("Week ",Master_Data[[#This Row],[Column1]])))</f>
        <v>Week 4</v>
      </c>
      <c r="D21" s="3">
        <f ca="1">ROUNDUP(Master_Data[[#This Row],[Column2]]/Working!$C$8,0)</f>
        <v>4</v>
      </c>
      <c r="E21" s="15">
        <f>SUM($F$9:F21)</f>
        <v>0.94512731481481471</v>
      </c>
      <c r="F21" s="27">
        <f>IF(Master_Data[[#This Row],[Lectures]]="D","",Master_Data[[#This Row],[Duration (hh:mm)]])</f>
        <v>9.7974537037037027E-2</v>
      </c>
      <c r="G21" s="2" t="s">
        <v>160</v>
      </c>
      <c r="H21" s="2">
        <v>7</v>
      </c>
      <c r="I21" s="2" t="s">
        <v>277</v>
      </c>
      <c r="J21" s="45" t="s">
        <v>234</v>
      </c>
      <c r="K21" s="16">
        <v>7</v>
      </c>
      <c r="L21" s="44">
        <v>4</v>
      </c>
      <c r="M21" s="44">
        <v>2</v>
      </c>
      <c r="N21" s="44">
        <v>3</v>
      </c>
      <c r="O21" s="44">
        <v>4</v>
      </c>
      <c r="P21" s="44">
        <v>3</v>
      </c>
      <c r="Q21" s="44">
        <v>3</v>
      </c>
      <c r="R21" s="13">
        <v>9.7974537037037027E-2</v>
      </c>
      <c r="S21" s="43">
        <f>(SUM($R$9:R21)/$R$4)*100</f>
        <v>11.058851252160059</v>
      </c>
      <c r="T21" s="28" t="s">
        <v>6</v>
      </c>
      <c r="U21" s="28" t="s">
        <v>6</v>
      </c>
      <c r="V21" s="28" t="s">
        <v>6</v>
      </c>
      <c r="W21" s="28" t="s">
        <v>6</v>
      </c>
      <c r="X21" s="28" t="s">
        <v>6</v>
      </c>
      <c r="Y21" s="158">
        <v>3</v>
      </c>
      <c r="Z21" s="17"/>
      <c r="AA21" s="173">
        <f>P21/SUM($P$9:$P$70)</f>
        <v>1.3100436681222707E-2</v>
      </c>
      <c r="AB21" s="174">
        <f>Master_Data[[#This Row],[Imp. Level]]/SUMIF(Master_Data[Subject],Master_Data[[#This Row],[Subject]],Master_Data[Imp. Level])</f>
        <v>5.0847457627118647E-2</v>
      </c>
      <c r="AC21" s="157">
        <f>Master_Data[[#This Row],[Subjectwise weights]]*Master_Data[[#This Row],[Confidence Level]]</f>
        <v>0.15254237288135594</v>
      </c>
      <c r="AD21" s="274" t="str">
        <f>Master_Data[[#This Row],[Prac. Book]]</f>
        <v>U</v>
      </c>
      <c r="AE21" s="274" t="str">
        <f>Master_Data[[#This Row],[GARP EOC Ques.]]</f>
        <v>U</v>
      </c>
    </row>
    <row r="22" spans="2:66" ht="27" customHeight="1" x14ac:dyDescent="0.3">
      <c r="B22" s="3">
        <v>14</v>
      </c>
      <c r="C22" s="182" t="str">
        <f ca="1">IF(Master_Data[[#This Row],[Column1]]=0,"",IF(Master_Data[[#This Row],[Column1]]=1,"Current Week",CONCATENATE("Week ",Master_Data[[#This Row],[Column1]])))</f>
        <v>Week 4</v>
      </c>
      <c r="D22" s="3">
        <f ca="1">ROUNDUP(Master_Data[[#This Row],[Column2]]/Working!$C$8,0)</f>
        <v>4</v>
      </c>
      <c r="E22" s="15">
        <f>SUM($F$9:F22)</f>
        <v>0.97482638888888884</v>
      </c>
      <c r="F22" s="27">
        <f>IF(Master_Data[[#This Row],[Lectures]]="D","",Master_Data[[#This Row],[Duration (hh:mm)]])</f>
        <v>2.9699074074074072E-2</v>
      </c>
      <c r="G22" s="2" t="s">
        <v>160</v>
      </c>
      <c r="H22" s="2">
        <v>8</v>
      </c>
      <c r="I22" s="2" t="s">
        <v>96</v>
      </c>
      <c r="J22" s="45" t="s">
        <v>235</v>
      </c>
      <c r="K22" s="16">
        <v>3</v>
      </c>
      <c r="L22" s="44">
        <v>2</v>
      </c>
      <c r="M22" s="44">
        <v>4</v>
      </c>
      <c r="N22" s="44">
        <v>3</v>
      </c>
      <c r="O22" s="44">
        <v>4</v>
      </c>
      <c r="P22" s="44">
        <v>3</v>
      </c>
      <c r="Q22" s="44">
        <v>3</v>
      </c>
      <c r="R22" s="13">
        <v>2.9699074074074072E-2</v>
      </c>
      <c r="S22" s="43">
        <f>(SUM($R$9:R22)/$R$4)*100</f>
        <v>11.406357495354843</v>
      </c>
      <c r="T22" s="28" t="s">
        <v>6</v>
      </c>
      <c r="U22" s="28" t="s">
        <v>6</v>
      </c>
      <c r="V22" s="28" t="s">
        <v>6</v>
      </c>
      <c r="W22" s="28" t="s">
        <v>6</v>
      </c>
      <c r="X22" s="28" t="s">
        <v>6</v>
      </c>
      <c r="Y22" s="158">
        <v>3</v>
      </c>
      <c r="Z22" s="17"/>
      <c r="AA22" s="173">
        <f>P22/SUM($P$9:$P$70)</f>
        <v>1.3100436681222707E-2</v>
      </c>
      <c r="AB22" s="174">
        <f>Master_Data[[#This Row],[Imp. Level]]/SUMIF(Master_Data[Subject],Master_Data[[#This Row],[Subject]],Master_Data[Imp. Level])</f>
        <v>5.0847457627118647E-2</v>
      </c>
      <c r="AC22" s="157">
        <f>Master_Data[[#This Row],[Subjectwise weights]]*Master_Data[[#This Row],[Confidence Level]]</f>
        <v>0.15254237288135594</v>
      </c>
      <c r="AD22" s="274" t="str">
        <f>Master_Data[[#This Row],[Prac. Book]]</f>
        <v>U</v>
      </c>
      <c r="AE22" s="274" t="str">
        <f>Master_Data[[#This Row],[GARP EOC Ques.]]</f>
        <v>U</v>
      </c>
    </row>
    <row r="23" spans="2:66" ht="27" customHeight="1" x14ac:dyDescent="0.3">
      <c r="B23" s="3">
        <v>15</v>
      </c>
      <c r="C23" s="182" t="str">
        <f ca="1">IF(Master_Data[[#This Row],[Column1]]=0,"",IF(Master_Data[[#This Row],[Column1]]=1,"Current Week",CONCATENATE("Week ",Master_Data[[#This Row],[Column1]])))</f>
        <v>Week 4</v>
      </c>
      <c r="D23" s="3">
        <f ca="1">ROUNDUP(Master_Data[[#This Row],[Column2]]/Working!$C$8,0)</f>
        <v>4</v>
      </c>
      <c r="E23" s="15">
        <f>SUM($F$9:F23)</f>
        <v>1.0261689814814814</v>
      </c>
      <c r="F23" s="27">
        <f>IF(Master_Data[[#This Row],[Lectures]]="D","",Master_Data[[#This Row],[Duration (hh:mm)]])</f>
        <v>5.1342592592592586E-2</v>
      </c>
      <c r="G23" s="2" t="s">
        <v>160</v>
      </c>
      <c r="H23" s="2">
        <v>9</v>
      </c>
      <c r="I23" s="2" t="s">
        <v>96</v>
      </c>
      <c r="J23" s="272" t="s">
        <v>236</v>
      </c>
      <c r="K23" s="16">
        <v>3</v>
      </c>
      <c r="L23" s="44">
        <v>1</v>
      </c>
      <c r="M23" s="44">
        <v>2</v>
      </c>
      <c r="N23" s="44">
        <v>5</v>
      </c>
      <c r="O23" s="44">
        <v>5</v>
      </c>
      <c r="P23" s="44">
        <v>3</v>
      </c>
      <c r="Q23" s="44">
        <v>3</v>
      </c>
      <c r="R23" s="13">
        <v>5.1342592592592586E-2</v>
      </c>
      <c r="S23" s="43">
        <f>(SUM($R$9:R23)/$R$4)*100</f>
        <v>12.007112637526337</v>
      </c>
      <c r="T23" s="28" t="s">
        <v>6</v>
      </c>
      <c r="U23" s="28" t="s">
        <v>6</v>
      </c>
      <c r="V23" s="28" t="s">
        <v>6</v>
      </c>
      <c r="W23" s="28" t="s">
        <v>6</v>
      </c>
      <c r="X23" s="28" t="s">
        <v>6</v>
      </c>
      <c r="Y23" s="158">
        <v>2</v>
      </c>
      <c r="Z23" s="17"/>
      <c r="AA23" s="173">
        <f>P23/SUM($P$9:$P$70)</f>
        <v>1.3100436681222707E-2</v>
      </c>
      <c r="AB23" s="174">
        <f>Master_Data[[#This Row],[Imp. Level]]/SUMIF(Master_Data[Subject],Master_Data[[#This Row],[Subject]],Master_Data[Imp. Level])</f>
        <v>5.0847457627118647E-2</v>
      </c>
      <c r="AC23" s="157">
        <f>Master_Data[[#This Row],[Subjectwise weights]]*Master_Data[[#This Row],[Confidence Level]]</f>
        <v>0.10169491525423729</v>
      </c>
      <c r="AD23" s="274" t="str">
        <f>Master_Data[[#This Row],[Prac. Book]]</f>
        <v>U</v>
      </c>
      <c r="AE23" s="274" t="str">
        <f>Master_Data[[#This Row],[GARP EOC Ques.]]</f>
        <v>U</v>
      </c>
    </row>
    <row r="24" spans="2:66" ht="27" customHeight="1" x14ac:dyDescent="0.3">
      <c r="B24" s="3">
        <v>16</v>
      </c>
      <c r="C24" s="182" t="str">
        <f ca="1">IF(Master_Data[[#This Row],[Column1]]=0,"",IF(Master_Data[[#This Row],[Column1]]=1,"Current Week",CONCATENATE("Week ",Master_Data[[#This Row],[Column1]])))</f>
        <v>Week 4</v>
      </c>
      <c r="D24" s="3">
        <f ca="1">ROUNDUP(Master_Data[[#This Row],[Column2]]/Working!$C$8,0)</f>
        <v>4</v>
      </c>
      <c r="E24" s="15">
        <f>SUM($F$9:F24)</f>
        <v>1.093761574074074</v>
      </c>
      <c r="F24" s="27">
        <f>IF(Master_Data[[#This Row],[Lectures]]="D","",Master_Data[[#This Row],[Duration (hh:mm)]])</f>
        <v>6.7592592592592593E-2</v>
      </c>
      <c r="G24" s="2" t="s">
        <v>227</v>
      </c>
      <c r="H24" s="2">
        <v>89</v>
      </c>
      <c r="I24" s="2" t="s">
        <v>96</v>
      </c>
      <c r="J24" s="45" t="s">
        <v>165</v>
      </c>
      <c r="K24" s="16">
        <v>10</v>
      </c>
      <c r="L24" s="44">
        <v>3</v>
      </c>
      <c r="M24" s="44">
        <v>1</v>
      </c>
      <c r="N24" s="44">
        <v>3</v>
      </c>
      <c r="O24" s="44">
        <v>3</v>
      </c>
      <c r="P24" s="44">
        <v>3</v>
      </c>
      <c r="Q24" s="44">
        <v>3</v>
      </c>
      <c r="R24" s="12">
        <v>6.7592592592592593E-2</v>
      </c>
      <c r="S24" s="43">
        <f>(SUM($R$9:R24)/$R$4)*100</f>
        <v>12.79800759475842</v>
      </c>
      <c r="T24" s="28" t="s">
        <v>6</v>
      </c>
      <c r="U24" s="28" t="s">
        <v>6</v>
      </c>
      <c r="V24" s="28" t="s">
        <v>6</v>
      </c>
      <c r="W24" s="28" t="s">
        <v>6</v>
      </c>
      <c r="X24" s="28" t="s">
        <v>6</v>
      </c>
      <c r="Y24" s="158">
        <v>2</v>
      </c>
      <c r="Z24" s="17"/>
      <c r="AA24" s="173">
        <f>P24/SUM($P$9:$P$70)</f>
        <v>1.3100436681222707E-2</v>
      </c>
      <c r="AB24" s="174">
        <f>Master_Data[[#This Row],[Imp. Level]]/SUMIF(Master_Data[Subject],Master_Data[[#This Row],[Subject]],Master_Data[Imp. Level])</f>
        <v>7.6923076923076927E-2</v>
      </c>
      <c r="AC24" s="157">
        <f>Master_Data[[#This Row],[Subjectwise weights]]*Master_Data[[#This Row],[Confidence Level]]</f>
        <v>0.15384615384615385</v>
      </c>
      <c r="AD24" s="274" t="str">
        <f>Master_Data[[#This Row],[Prac. Book]]</f>
        <v>U</v>
      </c>
      <c r="AE24" s="274" t="str">
        <f>Master_Data[[#This Row],[GARP EOC Ques.]]</f>
        <v>U</v>
      </c>
    </row>
    <row r="25" spans="2:66" ht="27" customHeight="1" x14ac:dyDescent="0.3">
      <c r="B25" s="3">
        <v>17</v>
      </c>
      <c r="C25" s="182" t="str">
        <f ca="1">IF(Master_Data[[#This Row],[Column1]]=0,"",IF(Master_Data[[#This Row],[Column1]]=1,"Current Week",CONCATENATE("Week ",Master_Data[[#This Row],[Column1]])))</f>
        <v>Week 5</v>
      </c>
      <c r="D25" s="3">
        <f ca="1">ROUNDUP(Master_Data[[#This Row],[Column2]]/Working!$C$8,0)</f>
        <v>5</v>
      </c>
      <c r="E25" s="15">
        <f>SUM($F$9:F25)</f>
        <v>1.1828587962962962</v>
      </c>
      <c r="F25" s="27">
        <f>IF(Master_Data[[#This Row],[Lectures]]="D","",Master_Data[[#This Row],[Duration (hh:mm)]])</f>
        <v>8.9097222222222217E-2</v>
      </c>
      <c r="G25" s="2" t="s">
        <v>227</v>
      </c>
      <c r="H25" s="2">
        <v>90</v>
      </c>
      <c r="I25" s="2" t="s">
        <v>96</v>
      </c>
      <c r="J25" s="45" t="s">
        <v>166</v>
      </c>
      <c r="K25" s="16">
        <v>9</v>
      </c>
      <c r="L25" s="44">
        <v>4</v>
      </c>
      <c r="M25" s="44">
        <v>3</v>
      </c>
      <c r="N25" s="44">
        <v>3</v>
      </c>
      <c r="O25" s="44">
        <v>4</v>
      </c>
      <c r="P25" s="44">
        <v>4</v>
      </c>
      <c r="Q25" s="44">
        <v>4</v>
      </c>
      <c r="R25" s="13">
        <v>8.9097222222222217E-2</v>
      </c>
      <c r="S25" s="43">
        <f>(SUM($R$9:R25)/$R$4)*100</f>
        <v>13.840526324342767</v>
      </c>
      <c r="T25" s="28" t="s">
        <v>6</v>
      </c>
      <c r="U25" s="28" t="s">
        <v>6</v>
      </c>
      <c r="V25" s="28" t="s">
        <v>6</v>
      </c>
      <c r="W25" s="28" t="s">
        <v>6</v>
      </c>
      <c r="X25" s="28" t="s">
        <v>6</v>
      </c>
      <c r="Y25" s="158">
        <v>2</v>
      </c>
      <c r="Z25" s="17"/>
      <c r="AA25" s="173">
        <f>P25/SUM($P$9:$P$70)</f>
        <v>1.7467248908296942E-2</v>
      </c>
      <c r="AB25" s="174">
        <f>Master_Data[[#This Row],[Imp. Level]]/SUMIF(Master_Data[Subject],Master_Data[[#This Row],[Subject]],Master_Data[Imp. Level])</f>
        <v>0.10256410256410256</v>
      </c>
      <c r="AC25" s="157">
        <f>Master_Data[[#This Row],[Subjectwise weights]]*Master_Data[[#This Row],[Confidence Level]]</f>
        <v>0.20512820512820512</v>
      </c>
      <c r="AD25" s="274" t="str">
        <f>Master_Data[[#This Row],[Prac. Book]]</f>
        <v>U</v>
      </c>
      <c r="AE25" s="274" t="str">
        <f>Master_Data[[#This Row],[GARP EOC Ques.]]</f>
        <v>U</v>
      </c>
    </row>
    <row r="26" spans="2:66" ht="27" customHeight="1" x14ac:dyDescent="0.3">
      <c r="B26" s="3">
        <v>18</v>
      </c>
      <c r="C26" s="182" t="str">
        <f ca="1">IF(Master_Data[[#This Row],[Column1]]=0,"",IF(Master_Data[[#This Row],[Column1]]=1,"Current Week",CONCATENATE("Week ",Master_Data[[#This Row],[Column1]])))</f>
        <v>Week 5</v>
      </c>
      <c r="D26" s="3">
        <f ca="1">ROUNDUP(Master_Data[[#This Row],[Column2]]/Working!$C$8,0)</f>
        <v>5</v>
      </c>
      <c r="E26" s="15">
        <f>SUM($F$9:F26)</f>
        <v>1.3113310185185185</v>
      </c>
      <c r="F26" s="27">
        <f>IF(Master_Data[[#This Row],[Lectures]]="D","",Master_Data[[#This Row],[Duration (hh:mm)]])</f>
        <v>0.12847222222222224</v>
      </c>
      <c r="G26" s="2" t="s">
        <v>227</v>
      </c>
      <c r="H26" s="2">
        <v>91</v>
      </c>
      <c r="I26" s="2" t="s">
        <v>277</v>
      </c>
      <c r="J26" s="45" t="s">
        <v>170</v>
      </c>
      <c r="K26" s="16">
        <v>8</v>
      </c>
      <c r="L26" s="44">
        <v>3</v>
      </c>
      <c r="M26" s="44">
        <v>1</v>
      </c>
      <c r="N26" s="44">
        <v>3</v>
      </c>
      <c r="O26" s="44">
        <v>3</v>
      </c>
      <c r="P26" s="44">
        <v>3</v>
      </c>
      <c r="Q26" s="44">
        <v>3</v>
      </c>
      <c r="R26" s="12">
        <v>0.12847222222222224</v>
      </c>
      <c r="S26" s="43">
        <f>(SUM($R$9:R26)/$R$4)*100</f>
        <v>15.343768451958544</v>
      </c>
      <c r="T26" s="28" t="s">
        <v>6</v>
      </c>
      <c r="U26" s="28" t="s">
        <v>6</v>
      </c>
      <c r="V26" s="28" t="s">
        <v>6</v>
      </c>
      <c r="W26" s="28" t="s">
        <v>6</v>
      </c>
      <c r="X26" s="28" t="s">
        <v>6</v>
      </c>
      <c r="Y26" s="158">
        <v>3</v>
      </c>
      <c r="Z26" s="17"/>
      <c r="AA26" s="173">
        <f>P26/SUM($P$9:$P$111)</f>
        <v>8.4269662921348312E-3</v>
      </c>
      <c r="AB26" s="174">
        <f>Master_Data[[#This Row],[Imp. Level]]/SUMIF(Master_Data[Subject],Master_Data[[#This Row],[Subject]],Master_Data[Imp. Level])</f>
        <v>7.6923076923076927E-2</v>
      </c>
      <c r="AC26" s="157">
        <f>Master_Data[[#This Row],[Subjectwise weights]]*Master_Data[[#This Row],[Confidence Level]]</f>
        <v>0.23076923076923078</v>
      </c>
      <c r="AD26" s="274" t="str">
        <f>Master_Data[[#This Row],[Prac. Book]]</f>
        <v>U</v>
      </c>
      <c r="AE26" s="274" t="str">
        <f>Master_Data[[#This Row],[GARP EOC Ques.]]</f>
        <v>U</v>
      </c>
    </row>
    <row r="27" spans="2:66" ht="27" customHeight="1" x14ac:dyDescent="0.3">
      <c r="B27" s="3">
        <v>19</v>
      </c>
      <c r="C27" s="182" t="str">
        <f ca="1">IF(Master_Data[[#This Row],[Column1]]=0,"",IF(Master_Data[[#This Row],[Column1]]=1,"Current Week",CONCATENATE("Week ",Master_Data[[#This Row],[Column1]])))</f>
        <v>Week 5</v>
      </c>
      <c r="D27" s="3">
        <f ca="1">ROUNDUP(Master_Data[[#This Row],[Column2]]/Working!$C$8,0)</f>
        <v>5</v>
      </c>
      <c r="E27" s="15">
        <f>SUM($F$9:F27)</f>
        <v>1.3589467592592592</v>
      </c>
      <c r="F27" s="27">
        <f>IF(Master_Data[[#This Row],[Lectures]]="D","",Master_Data[[#This Row],[Duration (hh:mm)]])</f>
        <v>4.7615740740740743E-2</v>
      </c>
      <c r="G27" s="2" t="s">
        <v>227</v>
      </c>
      <c r="H27" s="2">
        <v>92</v>
      </c>
      <c r="I27" s="2" t="s">
        <v>96</v>
      </c>
      <c r="J27" s="45" t="s">
        <v>171</v>
      </c>
      <c r="K27" s="16">
        <v>7</v>
      </c>
      <c r="L27" s="44">
        <v>2</v>
      </c>
      <c r="M27" s="44">
        <v>1</v>
      </c>
      <c r="N27" s="44">
        <v>2</v>
      </c>
      <c r="O27" s="44">
        <v>2</v>
      </c>
      <c r="P27" s="44">
        <v>2</v>
      </c>
      <c r="Q27" s="44">
        <v>3</v>
      </c>
      <c r="R27" s="13">
        <v>4.7615740740740743E-2</v>
      </c>
      <c r="S27" s="43">
        <f>(SUM($R$9:R27)/$R$4)*100</f>
        <v>15.900916029707309</v>
      </c>
      <c r="T27" s="28" t="s">
        <v>6</v>
      </c>
      <c r="U27" s="28" t="s">
        <v>6</v>
      </c>
      <c r="V27" s="28" t="s">
        <v>6</v>
      </c>
      <c r="W27" s="28" t="s">
        <v>6</v>
      </c>
      <c r="X27" s="28" t="s">
        <v>6</v>
      </c>
      <c r="Y27" s="158">
        <v>2</v>
      </c>
      <c r="Z27" s="17"/>
      <c r="AA27" s="173">
        <f>P27/SUM($P$9:$P$111)</f>
        <v>5.6179775280898875E-3</v>
      </c>
      <c r="AB27" s="174">
        <f>Master_Data[[#This Row],[Imp. Level]]/SUMIF(Master_Data[Subject],Master_Data[[#This Row],[Subject]],Master_Data[Imp. Level])</f>
        <v>5.128205128205128E-2</v>
      </c>
      <c r="AC27" s="157">
        <f>Master_Data[[#This Row],[Subjectwise weights]]*Master_Data[[#This Row],[Confidence Level]]</f>
        <v>0.10256410256410256</v>
      </c>
      <c r="AD27" s="274" t="str">
        <f>Master_Data[[#This Row],[Prac. Book]]</f>
        <v>U</v>
      </c>
      <c r="AE27" s="274" t="str">
        <f>Master_Data[[#This Row],[GARP EOC Ques.]]</f>
        <v>U</v>
      </c>
    </row>
    <row r="28" spans="2:66" ht="27" customHeight="1" x14ac:dyDescent="0.3">
      <c r="B28" s="3">
        <v>20</v>
      </c>
      <c r="C28" s="182" t="str">
        <f ca="1">IF(Master_Data[[#This Row],[Column1]]=0,"",IF(Master_Data[[#This Row],[Column1]]=1,"Current Week",CONCATENATE("Week ",Master_Data[[#This Row],[Column1]])))</f>
        <v>Week 6</v>
      </c>
      <c r="D28" s="3">
        <f ca="1">ROUNDUP(Master_Data[[#This Row],[Column2]]/Working!$C$8,0)</f>
        <v>6</v>
      </c>
      <c r="E28" s="15">
        <f>SUM($F$9:F28)</f>
        <v>1.4263078703703704</v>
      </c>
      <c r="F28" s="27">
        <f>IF(Master_Data[[#This Row],[Lectures]]="D","",Master_Data[[#This Row],[Duration (hh:mm)]])</f>
        <v>6.7361111111111108E-2</v>
      </c>
      <c r="G28" s="2" t="s">
        <v>227</v>
      </c>
      <c r="H28" s="2">
        <v>93</v>
      </c>
      <c r="I28" s="2" t="s">
        <v>96</v>
      </c>
      <c r="J28" s="273" t="s">
        <v>225</v>
      </c>
      <c r="K28" s="16">
        <v>3</v>
      </c>
      <c r="L28" s="44">
        <v>2</v>
      </c>
      <c r="M28" s="44">
        <v>1</v>
      </c>
      <c r="N28" s="44">
        <v>2</v>
      </c>
      <c r="O28" s="44">
        <v>2</v>
      </c>
      <c r="P28" s="44">
        <v>3</v>
      </c>
      <c r="Q28" s="44">
        <v>3</v>
      </c>
      <c r="R28" s="13">
        <v>6.7361111111111108E-2</v>
      </c>
      <c r="S28" s="43">
        <f>(SUM($R$9:R28)/$R$4)*100</f>
        <v>16.689102442565311</v>
      </c>
      <c r="T28" s="28" t="s">
        <v>6</v>
      </c>
      <c r="U28" s="28" t="s">
        <v>6</v>
      </c>
      <c r="V28" s="28" t="s">
        <v>6</v>
      </c>
      <c r="W28" s="28" t="s">
        <v>6</v>
      </c>
      <c r="X28" s="28" t="s">
        <v>6</v>
      </c>
      <c r="Y28" s="158">
        <v>3</v>
      </c>
      <c r="Z28" s="17"/>
      <c r="AA28" s="173">
        <f>P28/SUM($P$9:$P$111)</f>
        <v>8.4269662921348312E-3</v>
      </c>
      <c r="AB28" s="174">
        <f>Master_Data[[#This Row],[Imp. Level]]/SUMIF(Master_Data[Subject],Master_Data[[#This Row],[Subject]],Master_Data[Imp. Level])</f>
        <v>7.6923076923076927E-2</v>
      </c>
      <c r="AC28" s="157">
        <f>Master_Data[[#This Row],[Subjectwise weights]]*Master_Data[[#This Row],[Confidence Level]]</f>
        <v>0.23076923076923078</v>
      </c>
      <c r="AD28" s="274" t="str">
        <f>Master_Data[[#This Row],[Prac. Book]]</f>
        <v>U</v>
      </c>
      <c r="AE28" s="274" t="str">
        <f>Master_Data[[#This Row],[GARP EOC Ques.]]</f>
        <v>U</v>
      </c>
    </row>
    <row r="29" spans="2:66" ht="27" customHeight="1" x14ac:dyDescent="0.3">
      <c r="B29" s="3">
        <v>21</v>
      </c>
      <c r="C29" s="182" t="str">
        <f ca="1">IF(Master_Data[[#This Row],[Column1]]=0,"",IF(Master_Data[[#This Row],[Column1]]=1,"Current Week",CONCATENATE("Week ",Master_Data[[#This Row],[Column1]])))</f>
        <v>Week 6</v>
      </c>
      <c r="D29" s="3">
        <f ca="1">ROUNDUP(Master_Data[[#This Row],[Column2]]/Working!$C$8,0)</f>
        <v>6</v>
      </c>
      <c r="E29" s="15">
        <f>SUM($F$9:F29)</f>
        <v>1.4849305555555556</v>
      </c>
      <c r="F29" s="27">
        <f>IF(Master_Data[[#This Row],[Lectures]]="D","",Master_Data[[#This Row],[Duration (hh:mm)]])</f>
        <v>5.8622685185185187E-2</v>
      </c>
      <c r="G29" s="2" t="s">
        <v>160</v>
      </c>
      <c r="H29" s="2">
        <v>10</v>
      </c>
      <c r="I29" s="2" t="s">
        <v>96</v>
      </c>
      <c r="J29" s="45" t="s">
        <v>167</v>
      </c>
      <c r="K29" s="16">
        <v>7</v>
      </c>
      <c r="L29" s="44">
        <v>3</v>
      </c>
      <c r="M29" s="44">
        <v>3</v>
      </c>
      <c r="N29" s="44">
        <v>4</v>
      </c>
      <c r="O29" s="44">
        <v>4</v>
      </c>
      <c r="P29" s="44">
        <v>4</v>
      </c>
      <c r="Q29" s="44">
        <v>4</v>
      </c>
      <c r="R29" s="14">
        <v>5.8622685185185187E-2</v>
      </c>
      <c r="S29" s="43">
        <f>(SUM($R$9:R29)/$R$4)*100</f>
        <v>17.375041305301703</v>
      </c>
      <c r="T29" s="28" t="s">
        <v>6</v>
      </c>
      <c r="U29" s="28" t="s">
        <v>6</v>
      </c>
      <c r="V29" s="28" t="s">
        <v>6</v>
      </c>
      <c r="W29" s="28" t="s">
        <v>6</v>
      </c>
      <c r="X29" s="28" t="s">
        <v>6</v>
      </c>
      <c r="Y29" s="158">
        <v>3</v>
      </c>
      <c r="Z29" s="17"/>
      <c r="AA29" s="173">
        <f>P29/SUM($P$9:$P$70)</f>
        <v>1.7467248908296942E-2</v>
      </c>
      <c r="AB29" s="174">
        <f>Master_Data[[#This Row],[Imp. Level]]/SUMIF(Master_Data[Subject],Master_Data[[#This Row],[Subject]],Master_Data[Imp. Level])</f>
        <v>6.7796610169491525E-2</v>
      </c>
      <c r="AC29" s="157">
        <f>Master_Data[[#This Row],[Subjectwise weights]]*Master_Data[[#This Row],[Confidence Level]]</f>
        <v>0.20338983050847459</v>
      </c>
      <c r="AD29" s="274" t="str">
        <f>Master_Data[[#This Row],[Prac. Book]]</f>
        <v>U</v>
      </c>
      <c r="AE29" s="274" t="str">
        <f>Master_Data[[#This Row],[GARP EOC Ques.]]</f>
        <v>U</v>
      </c>
    </row>
    <row r="30" spans="2:66" ht="27" customHeight="1" x14ac:dyDescent="0.3">
      <c r="B30" s="3">
        <v>22</v>
      </c>
      <c r="C30" s="182" t="str">
        <f ca="1">IF(Master_Data[[#This Row],[Column1]]=0,"",IF(Master_Data[[#This Row],[Column1]]=1,"Current Week",CONCATENATE("Week ",Master_Data[[#This Row],[Column1]])))</f>
        <v>Week 6</v>
      </c>
      <c r="D30" s="3">
        <f ca="1">ROUNDUP(Master_Data[[#This Row],[Column2]]/Working!$C$8,0)</f>
        <v>6</v>
      </c>
      <c r="E30" s="15">
        <f>SUM($F$9:F30)</f>
        <v>1.6106134259259259</v>
      </c>
      <c r="F30" s="27">
        <f>IF(Master_Data[[#This Row],[Lectures]]="D","",Master_Data[[#This Row],[Duration (hh:mm)]])</f>
        <v>0.12568287037037038</v>
      </c>
      <c r="G30" s="2" t="s">
        <v>160</v>
      </c>
      <c r="H30" s="2">
        <v>11</v>
      </c>
      <c r="I30" s="2" t="s">
        <v>96</v>
      </c>
      <c r="J30" s="45" t="s">
        <v>168</v>
      </c>
      <c r="K30" s="16">
        <v>10</v>
      </c>
      <c r="L30" s="44">
        <v>4</v>
      </c>
      <c r="M30" s="44">
        <v>3</v>
      </c>
      <c r="N30" s="44">
        <v>4</v>
      </c>
      <c r="O30" s="44">
        <v>4</v>
      </c>
      <c r="P30" s="44">
        <v>3</v>
      </c>
      <c r="Q30" s="44">
        <v>3</v>
      </c>
      <c r="R30" s="13">
        <v>0.12568287037037038</v>
      </c>
      <c r="S30" s="43">
        <f>(SUM($R$9:R30)/$R$4)*100</f>
        <v>18.845645473209782</v>
      </c>
      <c r="T30" s="28" t="s">
        <v>6</v>
      </c>
      <c r="U30" s="28" t="s">
        <v>6</v>
      </c>
      <c r="V30" s="28" t="s">
        <v>6</v>
      </c>
      <c r="W30" s="28" t="s">
        <v>6</v>
      </c>
      <c r="X30" s="28" t="s">
        <v>6</v>
      </c>
      <c r="Y30" s="158">
        <v>2</v>
      </c>
      <c r="Z30" s="17"/>
      <c r="AA30" s="173">
        <f>P30/SUM($P$9:$P$70)</f>
        <v>1.3100436681222707E-2</v>
      </c>
      <c r="AB30" s="174">
        <f>Master_Data[[#This Row],[Imp. Level]]/SUMIF(Master_Data[Subject],Master_Data[[#This Row],[Subject]],Master_Data[Imp. Level])</f>
        <v>5.0847457627118647E-2</v>
      </c>
      <c r="AC30" s="157">
        <f>Master_Data[[#This Row],[Subjectwise weights]]*Master_Data[[#This Row],[Confidence Level]]</f>
        <v>0.10169491525423729</v>
      </c>
      <c r="AD30" s="274" t="str">
        <f>Master_Data[[#This Row],[Prac. Book]]</f>
        <v>U</v>
      </c>
      <c r="AE30" s="274" t="str">
        <f>Master_Data[[#This Row],[GARP EOC Ques.]]</f>
        <v>U</v>
      </c>
    </row>
    <row r="31" spans="2:66" ht="27" customHeight="1" x14ac:dyDescent="0.3">
      <c r="B31" s="3">
        <v>23</v>
      </c>
      <c r="C31" s="182" t="str">
        <f ca="1">IF(Master_Data[[#This Row],[Column1]]=0,"",IF(Master_Data[[#This Row],[Column1]]=1,"Current Week",CONCATENATE("Week ",Master_Data[[#This Row],[Column1]])))</f>
        <v>Week 6</v>
      </c>
      <c r="D31" s="3">
        <f ca="1">ROUNDUP(Master_Data[[#This Row],[Column2]]/Working!$C$8,0)</f>
        <v>6</v>
      </c>
      <c r="E31" s="15">
        <f>SUM($F$9:F31)</f>
        <v>1.668113425925926</v>
      </c>
      <c r="F31" s="27">
        <f>IF(Master_Data[[#This Row],[Lectures]]="D","",Master_Data[[#This Row],[Duration (hh:mm)]])</f>
        <v>5.7499999999999996E-2</v>
      </c>
      <c r="G31" s="2" t="s">
        <v>160</v>
      </c>
      <c r="H31" s="2">
        <v>12</v>
      </c>
      <c r="I31" s="2" t="s">
        <v>96</v>
      </c>
      <c r="J31" s="45" t="s">
        <v>169</v>
      </c>
      <c r="K31" s="16">
        <v>5</v>
      </c>
      <c r="L31" s="44">
        <v>3</v>
      </c>
      <c r="M31" s="44">
        <v>4</v>
      </c>
      <c r="N31" s="44">
        <v>4</v>
      </c>
      <c r="O31" s="44">
        <v>4</v>
      </c>
      <c r="P31" s="44">
        <v>3</v>
      </c>
      <c r="Q31" s="44">
        <v>4</v>
      </c>
      <c r="R31" s="13">
        <v>5.7499999999999996E-2</v>
      </c>
      <c r="S31" s="43">
        <f>(SUM($R$9:R31)/$R$4)*100</f>
        <v>19.518447895731871</v>
      </c>
      <c r="T31" s="28" t="s">
        <v>6</v>
      </c>
      <c r="U31" s="28" t="s">
        <v>6</v>
      </c>
      <c r="V31" s="28" t="s">
        <v>6</v>
      </c>
      <c r="W31" s="28" t="s">
        <v>6</v>
      </c>
      <c r="X31" s="28" t="s">
        <v>6</v>
      </c>
      <c r="Y31" s="158">
        <v>3</v>
      </c>
      <c r="Z31" s="17"/>
      <c r="AA31" s="173">
        <f>P31/SUM($P$9:$P$70)</f>
        <v>1.3100436681222707E-2</v>
      </c>
      <c r="AB31" s="174">
        <f>Master_Data[[#This Row],[Imp. Level]]/SUMIF(Master_Data[Subject],Master_Data[[#This Row],[Subject]],Master_Data[Imp. Level])</f>
        <v>5.0847457627118647E-2</v>
      </c>
      <c r="AC31" s="157">
        <f>Master_Data[[#This Row],[Subjectwise weights]]*Master_Data[[#This Row],[Confidence Level]]</f>
        <v>0.15254237288135594</v>
      </c>
      <c r="AD31" s="274" t="str">
        <f>Master_Data[[#This Row],[Prac. Book]]</f>
        <v>U</v>
      </c>
      <c r="AE31" s="274" t="str">
        <f>Master_Data[[#This Row],[GARP EOC Ques.]]</f>
        <v>U</v>
      </c>
    </row>
    <row r="32" spans="2:66" ht="27" customHeight="1" x14ac:dyDescent="0.3">
      <c r="B32" s="3">
        <v>24</v>
      </c>
      <c r="C32" s="182" t="str">
        <f ca="1">IF(Master_Data[[#This Row],[Column1]]=0,"",IF(Master_Data[[#This Row],[Column1]]=1,"Current Week",CONCATENATE("Week ",Master_Data[[#This Row],[Column1]])))</f>
        <v>Week 7</v>
      </c>
      <c r="D32" s="3">
        <f ca="1">ROUNDUP(Master_Data[[#This Row],[Column2]]/Working!$C$8,0)</f>
        <v>7</v>
      </c>
      <c r="E32" s="15">
        <f>SUM($F$9:F32)</f>
        <v>1.8106250000000002</v>
      </c>
      <c r="F32" s="27">
        <f>IF(Master_Data[[#This Row],[Lectures]]="D","",Master_Data[[#This Row],[Duration (hh:mm)]])</f>
        <v>0.14251157407407408</v>
      </c>
      <c r="G32" s="2" t="s">
        <v>160</v>
      </c>
      <c r="H32" s="2">
        <v>13</v>
      </c>
      <c r="I32" s="2" t="s">
        <v>96</v>
      </c>
      <c r="J32" s="45" t="s">
        <v>237</v>
      </c>
      <c r="K32" s="16">
        <v>8</v>
      </c>
      <c r="L32" s="44">
        <v>4</v>
      </c>
      <c r="M32" s="44">
        <v>3</v>
      </c>
      <c r="N32" s="44">
        <v>4</v>
      </c>
      <c r="O32" s="44">
        <v>4</v>
      </c>
      <c r="P32" s="44">
        <v>4</v>
      </c>
      <c r="Q32" s="44">
        <v>3</v>
      </c>
      <c r="R32" s="13">
        <v>0.14251157407407408</v>
      </c>
      <c r="S32" s="43">
        <f>(SUM($R$9:R32)/$R$4)*100</f>
        <v>21.185963239635754</v>
      </c>
      <c r="T32" s="28" t="s">
        <v>6</v>
      </c>
      <c r="U32" s="28" t="s">
        <v>6</v>
      </c>
      <c r="V32" s="28" t="s">
        <v>6</v>
      </c>
      <c r="W32" s="28" t="s">
        <v>6</v>
      </c>
      <c r="X32" s="28" t="s">
        <v>6</v>
      </c>
      <c r="Y32" s="158">
        <v>2</v>
      </c>
      <c r="Z32" s="17"/>
      <c r="AA32" s="173">
        <f>P32/SUM($P$9:$P$70)</f>
        <v>1.7467248908296942E-2</v>
      </c>
      <c r="AB32" s="174">
        <f>Master_Data[[#This Row],[Imp. Level]]/SUMIF(Master_Data[Subject],Master_Data[[#This Row],[Subject]],Master_Data[Imp. Level])</f>
        <v>6.7796610169491525E-2</v>
      </c>
      <c r="AC32" s="157">
        <f>Master_Data[[#This Row],[Subjectwise weights]]*Master_Data[[#This Row],[Confidence Level]]</f>
        <v>0.13559322033898305</v>
      </c>
      <c r="AD32" s="274" t="str">
        <f>Master_Data[[#This Row],[Prac. Book]]</f>
        <v>U</v>
      </c>
      <c r="AE32" s="274" t="str">
        <f>Master_Data[[#This Row],[GARP EOC Ques.]]</f>
        <v>U</v>
      </c>
    </row>
    <row r="33" spans="2:31" ht="27" customHeight="1" x14ac:dyDescent="0.3">
      <c r="B33" s="3">
        <v>25</v>
      </c>
      <c r="C33" s="182" t="str">
        <f ca="1">IF(Master_Data[[#This Row],[Column1]]=0,"",IF(Master_Data[[#This Row],[Column1]]=1,"Current Week",CONCATENATE("Week ",Master_Data[[#This Row],[Column1]])))</f>
        <v>Week 7</v>
      </c>
      <c r="D33" s="3">
        <f ca="1">ROUNDUP(Master_Data[[#This Row],[Column2]]/Working!$C$8,0)</f>
        <v>7</v>
      </c>
      <c r="E33" s="15">
        <f>SUM($F$9:F33)</f>
        <v>1.8632175925925927</v>
      </c>
      <c r="F33" s="27">
        <f>IF(Master_Data[[#This Row],[Lectures]]="D","",Master_Data[[#This Row],[Duration (hh:mm)]])</f>
        <v>5.2592592592592587E-2</v>
      </c>
      <c r="G33" s="2" t="s">
        <v>160</v>
      </c>
      <c r="H33" s="2">
        <v>14</v>
      </c>
      <c r="I33" s="2" t="s">
        <v>96</v>
      </c>
      <c r="J33" s="45" t="s">
        <v>238</v>
      </c>
      <c r="K33" s="16">
        <v>6</v>
      </c>
      <c r="L33" s="44">
        <v>3</v>
      </c>
      <c r="M33" s="44">
        <v>3</v>
      </c>
      <c r="N33" s="44">
        <v>4</v>
      </c>
      <c r="O33" s="44">
        <v>5</v>
      </c>
      <c r="P33" s="44">
        <v>4</v>
      </c>
      <c r="Q33" s="44">
        <v>3</v>
      </c>
      <c r="R33" s="12">
        <v>5.2592592592592587E-2</v>
      </c>
      <c r="S33" s="43">
        <f>(SUM($R$9:R33)/$R$4)*100</f>
        <v>21.801344521427289</v>
      </c>
      <c r="T33" s="28" t="s">
        <v>6</v>
      </c>
      <c r="U33" s="28" t="s">
        <v>6</v>
      </c>
      <c r="V33" s="28" t="s">
        <v>6</v>
      </c>
      <c r="W33" s="28" t="s">
        <v>6</v>
      </c>
      <c r="X33" s="28" t="s">
        <v>6</v>
      </c>
      <c r="Y33" s="158">
        <v>2</v>
      </c>
      <c r="Z33" s="17"/>
      <c r="AA33" s="173">
        <f>P33/SUM($P$9:$P$111)</f>
        <v>1.1235955056179775E-2</v>
      </c>
      <c r="AB33" s="174">
        <f>Master_Data[[#This Row],[Imp. Level]]/SUMIF(Master_Data[Subject],Master_Data[[#This Row],[Subject]],Master_Data[Imp. Level])</f>
        <v>6.7796610169491525E-2</v>
      </c>
      <c r="AC33" s="157">
        <f>Master_Data[[#This Row],[Subjectwise weights]]*Master_Data[[#This Row],[Confidence Level]]</f>
        <v>0.13559322033898305</v>
      </c>
      <c r="AD33" s="274" t="str">
        <f>Master_Data[[#This Row],[Prac. Book]]</f>
        <v>U</v>
      </c>
      <c r="AE33" s="274" t="str">
        <f>Master_Data[[#This Row],[GARP EOC Ques.]]</f>
        <v>U</v>
      </c>
    </row>
    <row r="34" spans="2:31" ht="27" customHeight="1" x14ac:dyDescent="0.3">
      <c r="B34" s="3">
        <v>26</v>
      </c>
      <c r="C34" s="182" t="str">
        <f ca="1">IF(Master_Data[[#This Row],[Column1]]=0,"",IF(Master_Data[[#This Row],[Column1]]=1,"Current Week",CONCATENATE("Week ",Master_Data[[#This Row],[Column1]])))</f>
        <v>Week 8</v>
      </c>
      <c r="D34" s="3">
        <f ca="1">ROUNDUP(Master_Data[[#This Row],[Column2]]/Working!$C$8,0)</f>
        <v>8</v>
      </c>
      <c r="E34" s="15">
        <f>SUM($F$9:F34)</f>
        <v>1.9882175925925927</v>
      </c>
      <c r="F34" s="27">
        <f>IF(Master_Data[[#This Row],[Lectures]]="D","",Master_Data[[#This Row],[Duration (hh:mm)]])</f>
        <v>0.125</v>
      </c>
      <c r="G34" s="2" t="s">
        <v>174</v>
      </c>
      <c r="H34" s="2">
        <v>17</v>
      </c>
      <c r="I34" s="2" t="s">
        <v>97</v>
      </c>
      <c r="J34" s="45" t="s">
        <v>239</v>
      </c>
      <c r="K34" s="16">
        <v>5</v>
      </c>
      <c r="L34" s="44">
        <v>3</v>
      </c>
      <c r="M34" s="44">
        <v>1</v>
      </c>
      <c r="N34" s="44">
        <v>1</v>
      </c>
      <c r="O34" s="44">
        <v>1</v>
      </c>
      <c r="P34" s="44">
        <v>2</v>
      </c>
      <c r="Q34" s="44">
        <v>2</v>
      </c>
      <c r="R34" s="13">
        <v>0.125</v>
      </c>
      <c r="S34" s="43">
        <f>(SUM($R$9:R34)/$R$4)*100</f>
        <v>23.263958483431828</v>
      </c>
      <c r="T34" s="28" t="s">
        <v>6</v>
      </c>
      <c r="U34" s="28" t="s">
        <v>6</v>
      </c>
      <c r="V34" s="28" t="s">
        <v>6</v>
      </c>
      <c r="W34" s="28" t="s">
        <v>6</v>
      </c>
      <c r="X34" s="28" t="s">
        <v>6</v>
      </c>
      <c r="Y34" s="158">
        <v>3</v>
      </c>
      <c r="Z34" s="17"/>
      <c r="AA34" s="173">
        <f>P34/SUM($P$9:$P$70)</f>
        <v>8.7336244541484712E-3</v>
      </c>
      <c r="AB34" s="174">
        <f>Master_Data[[#This Row],[Imp. Level]]/SUMIF(Master_Data[Subject],Master_Data[[#This Row],[Subject]],Master_Data[Imp. Level])</f>
        <v>2.247191011235955E-2</v>
      </c>
      <c r="AC34" s="157">
        <f>Master_Data[[#This Row],[Subjectwise weights]]*Master_Data[[#This Row],[Confidence Level]]</f>
        <v>6.741573033707865E-2</v>
      </c>
      <c r="AD34" s="274" t="str">
        <f>Master_Data[[#This Row],[Prac. Book]]</f>
        <v>U</v>
      </c>
      <c r="AE34" s="274" t="str">
        <f>Master_Data[[#This Row],[GARP EOC Ques.]]</f>
        <v>U</v>
      </c>
    </row>
    <row r="35" spans="2:31" ht="27" customHeight="1" x14ac:dyDescent="0.3">
      <c r="B35" s="3">
        <v>27</v>
      </c>
      <c r="C35" s="182" t="str">
        <f ca="1">IF(Master_Data[[#This Row],[Column1]]=0,"",IF(Master_Data[[#This Row],[Column1]]=1,"Current Week",CONCATENATE("Week ",Master_Data[[#This Row],[Column1]])))</f>
        <v>Week 8</v>
      </c>
      <c r="D35" s="3">
        <f ca="1">ROUNDUP(Master_Data[[#This Row],[Column2]]/Working!$C$8,0)</f>
        <v>8</v>
      </c>
      <c r="E35" s="15">
        <f>SUM($F$9:F35)</f>
        <v>2.1132175925925925</v>
      </c>
      <c r="F35" s="27">
        <f>IF(Master_Data[[#This Row],[Lectures]]="D","",Master_Data[[#This Row],[Duration (hh:mm)]])</f>
        <v>0.125</v>
      </c>
      <c r="G35" s="2" t="s">
        <v>174</v>
      </c>
      <c r="H35" s="2">
        <v>18</v>
      </c>
      <c r="I35" s="2" t="s">
        <v>97</v>
      </c>
      <c r="J35" s="45" t="s">
        <v>240</v>
      </c>
      <c r="K35" s="16">
        <v>5</v>
      </c>
      <c r="L35" s="44">
        <v>3</v>
      </c>
      <c r="M35" s="44">
        <v>1</v>
      </c>
      <c r="N35" s="44">
        <v>1</v>
      </c>
      <c r="O35" s="44">
        <v>1</v>
      </c>
      <c r="P35" s="44">
        <v>2</v>
      </c>
      <c r="Q35" s="44">
        <v>2</v>
      </c>
      <c r="R35" s="13">
        <v>0.125</v>
      </c>
      <c r="S35" s="43">
        <f>(SUM($R$9:R35)/$R$4)*100</f>
        <v>24.726572445436364</v>
      </c>
      <c r="T35" s="28" t="s">
        <v>6</v>
      </c>
      <c r="U35" s="28" t="s">
        <v>6</v>
      </c>
      <c r="V35" s="28" t="s">
        <v>6</v>
      </c>
      <c r="W35" s="28" t="s">
        <v>6</v>
      </c>
      <c r="X35" s="28" t="s">
        <v>6</v>
      </c>
      <c r="Y35" s="158">
        <v>2</v>
      </c>
      <c r="Z35" s="17"/>
      <c r="AA35" s="173">
        <f>P35/SUM($P$9:$P$70)</f>
        <v>8.7336244541484712E-3</v>
      </c>
      <c r="AB35" s="174">
        <f>Master_Data[[#This Row],[Imp. Level]]/SUMIF(Master_Data[Subject],Master_Data[[#This Row],[Subject]],Master_Data[Imp. Level])</f>
        <v>2.247191011235955E-2</v>
      </c>
      <c r="AC35" s="157">
        <f>Master_Data[[#This Row],[Subjectwise weights]]*Master_Data[[#This Row],[Confidence Level]]</f>
        <v>4.49438202247191E-2</v>
      </c>
      <c r="AD35" s="274" t="str">
        <f>Master_Data[[#This Row],[Prac. Book]]</f>
        <v>U</v>
      </c>
      <c r="AE35" s="274" t="str">
        <f>Master_Data[[#This Row],[GARP EOC Ques.]]</f>
        <v>U</v>
      </c>
    </row>
    <row r="36" spans="2:31" ht="27" customHeight="1" x14ac:dyDescent="0.3">
      <c r="B36" s="3">
        <v>28</v>
      </c>
      <c r="C36" s="182" t="str">
        <f ca="1">IF(Master_Data[[#This Row],[Column1]]=0,"",IF(Master_Data[[#This Row],[Column1]]=1,"Current Week",CONCATENATE("Week ",Master_Data[[#This Row],[Column1]])))</f>
        <v>Week 8</v>
      </c>
      <c r="D36" s="3">
        <f ca="1">ROUNDUP(Master_Data[[#This Row],[Column2]]/Working!$C$8,0)</f>
        <v>8</v>
      </c>
      <c r="E36" s="15">
        <f>SUM($F$9:F36)</f>
        <v>2.2161574074074073</v>
      </c>
      <c r="F36" s="27">
        <f>IF(Master_Data[[#This Row],[Lectures]]="D","",Master_Data[[#This Row],[Duration (hh:mm)]])</f>
        <v>0.1029398148148148</v>
      </c>
      <c r="G36" s="2" t="s">
        <v>160</v>
      </c>
      <c r="H36" s="2">
        <v>15</v>
      </c>
      <c r="I36" s="2" t="s">
        <v>96</v>
      </c>
      <c r="J36" s="45" t="s">
        <v>172</v>
      </c>
      <c r="K36" s="16">
        <v>9</v>
      </c>
      <c r="L36" s="44">
        <v>3</v>
      </c>
      <c r="M36" s="44">
        <v>1</v>
      </c>
      <c r="N36" s="44">
        <v>4</v>
      </c>
      <c r="O36" s="44">
        <v>5</v>
      </c>
      <c r="P36" s="44">
        <v>5</v>
      </c>
      <c r="Q36" s="44">
        <v>4</v>
      </c>
      <c r="R36" s="13">
        <v>0.1029398148148148</v>
      </c>
      <c r="S36" s="43">
        <f>(SUM($R$9:R36)/$R$4)*100</f>
        <v>25.931062128590842</v>
      </c>
      <c r="T36" s="28" t="s">
        <v>6</v>
      </c>
      <c r="U36" s="28" t="s">
        <v>6</v>
      </c>
      <c r="V36" s="28" t="s">
        <v>6</v>
      </c>
      <c r="W36" s="28" t="s">
        <v>6</v>
      </c>
      <c r="X36" s="28" t="s">
        <v>6</v>
      </c>
      <c r="Y36" s="158">
        <v>2</v>
      </c>
      <c r="Z36" s="17"/>
      <c r="AA36" s="173">
        <f>P36/SUM($P$9:$P$111)</f>
        <v>1.4044943820224719E-2</v>
      </c>
      <c r="AB36" s="174">
        <f>Master_Data[[#This Row],[Imp. Level]]/SUMIF(Master_Data[Subject],Master_Data[[#This Row],[Subject]],Master_Data[Imp. Level])</f>
        <v>8.4745762711864403E-2</v>
      </c>
      <c r="AC36" s="157">
        <f>Master_Data[[#This Row],[Subjectwise weights]]*Master_Data[[#This Row],[Confidence Level]]</f>
        <v>0.16949152542372881</v>
      </c>
      <c r="AD36" s="274" t="str">
        <f>Master_Data[[#This Row],[Prac. Book]]</f>
        <v>U</v>
      </c>
      <c r="AE36" s="274" t="str">
        <f>Master_Data[[#This Row],[GARP EOC Ques.]]</f>
        <v>U</v>
      </c>
    </row>
    <row r="37" spans="2:31" ht="27" customHeight="1" x14ac:dyDescent="0.3">
      <c r="B37" s="3">
        <v>29</v>
      </c>
      <c r="C37" s="182" t="str">
        <f ca="1">IF(Master_Data[[#This Row],[Column1]]=0,"",IF(Master_Data[[#This Row],[Column1]]=1,"Current Week",CONCATENATE("Week ",Master_Data[[#This Row],[Column1]])))</f>
        <v>Week 8</v>
      </c>
      <c r="D37" s="3">
        <f ca="1">ROUNDUP(Master_Data[[#This Row],[Column2]]/Working!$C$8,0)</f>
        <v>8</v>
      </c>
      <c r="E37" s="15">
        <f>SUM($F$9:F37)</f>
        <v>2.2576041666666664</v>
      </c>
      <c r="F37" s="27">
        <f>IF(Master_Data[[#This Row],[Lectures]]="D","",Master_Data[[#This Row],[Duration (hh:mm)]])</f>
        <v>4.144675925925926E-2</v>
      </c>
      <c r="G37" s="2" t="s">
        <v>160</v>
      </c>
      <c r="H37" s="2">
        <v>16</v>
      </c>
      <c r="I37" s="2" t="s">
        <v>96</v>
      </c>
      <c r="J37" s="45" t="s">
        <v>173</v>
      </c>
      <c r="K37" s="16">
        <v>3</v>
      </c>
      <c r="L37" s="44">
        <v>2</v>
      </c>
      <c r="M37" s="44">
        <v>1</v>
      </c>
      <c r="N37" s="44">
        <v>3</v>
      </c>
      <c r="O37" s="44">
        <v>4</v>
      </c>
      <c r="P37" s="44">
        <v>4</v>
      </c>
      <c r="Q37" s="44">
        <v>3</v>
      </c>
      <c r="R37" s="12">
        <v>4.144675925925926E-2</v>
      </c>
      <c r="S37" s="43">
        <f>(SUM($R$9:R37)/$R$4)*100</f>
        <v>26.41602699877031</v>
      </c>
      <c r="T37" s="28" t="s">
        <v>6</v>
      </c>
      <c r="U37" s="28" t="s">
        <v>6</v>
      </c>
      <c r="V37" s="28" t="s">
        <v>6</v>
      </c>
      <c r="W37" s="28" t="s">
        <v>6</v>
      </c>
      <c r="X37" s="28" t="s">
        <v>6</v>
      </c>
      <c r="Y37" s="158">
        <v>3</v>
      </c>
      <c r="Z37" s="17"/>
      <c r="AA37" s="173">
        <f>P37/SUM($P$9:$P$70)</f>
        <v>1.7467248908296942E-2</v>
      </c>
      <c r="AB37" s="174">
        <f>Master_Data[[#This Row],[Imp. Level]]/SUMIF(Master_Data[Subject],Master_Data[[#This Row],[Subject]],Master_Data[Imp. Level])</f>
        <v>6.7796610169491525E-2</v>
      </c>
      <c r="AC37" s="157">
        <f>Master_Data[[#This Row],[Subjectwise weights]]*Master_Data[[#This Row],[Confidence Level]]</f>
        <v>0.20338983050847459</v>
      </c>
      <c r="AD37" s="274" t="str">
        <f>Master_Data[[#This Row],[Prac. Book]]</f>
        <v>U</v>
      </c>
      <c r="AE37" s="274" t="str">
        <f>Master_Data[[#This Row],[GARP EOC Ques.]]</f>
        <v>U</v>
      </c>
    </row>
    <row r="38" spans="2:31" ht="27" customHeight="1" x14ac:dyDescent="0.3">
      <c r="B38" s="3">
        <v>30</v>
      </c>
      <c r="C38" s="182" t="str">
        <f ca="1">IF(Master_Data[[#This Row],[Column1]]=0,"",IF(Master_Data[[#This Row],[Column1]]=1,"Current Week",CONCATENATE("Week ",Master_Data[[#This Row],[Column1]])))</f>
        <v>Week 9</v>
      </c>
      <c r="D38" s="3">
        <f ca="1">ROUNDUP(Master_Data[[#This Row],[Column2]]/Working!$C$8,0)</f>
        <v>9</v>
      </c>
      <c r="E38" s="15">
        <f>SUM($F$9:F38)</f>
        <v>2.3379398148148147</v>
      </c>
      <c r="F38" s="27">
        <f>IF(Master_Data[[#This Row],[Lectures]]="D","",Master_Data[[#This Row],[Duration (hh:mm)]])</f>
        <v>8.0335648148148142E-2</v>
      </c>
      <c r="G38" s="2" t="s">
        <v>174</v>
      </c>
      <c r="H38" s="2">
        <v>20</v>
      </c>
      <c r="I38" s="2" t="s">
        <v>95</v>
      </c>
      <c r="J38" s="45" t="s">
        <v>175</v>
      </c>
      <c r="K38" s="16">
        <v>9</v>
      </c>
      <c r="L38" s="44">
        <v>3</v>
      </c>
      <c r="M38" s="44">
        <v>4</v>
      </c>
      <c r="N38" s="44">
        <v>3</v>
      </c>
      <c r="O38" s="44">
        <v>3</v>
      </c>
      <c r="P38" s="44">
        <v>5</v>
      </c>
      <c r="Q38" s="44">
        <v>4</v>
      </c>
      <c r="R38" s="13">
        <v>8.0335648148148142E-2</v>
      </c>
      <c r="S38" s="43">
        <f>(SUM($R$9:R38)/$R$4)*100</f>
        <v>27.35602732379564</v>
      </c>
      <c r="T38" s="28" t="s">
        <v>6</v>
      </c>
      <c r="U38" s="28" t="s">
        <v>6</v>
      </c>
      <c r="V38" s="28" t="s">
        <v>6</v>
      </c>
      <c r="W38" s="28" t="s">
        <v>6</v>
      </c>
      <c r="X38" s="28" t="s">
        <v>6</v>
      </c>
      <c r="Y38" s="158">
        <v>2</v>
      </c>
      <c r="Z38" s="17"/>
      <c r="AA38" s="173">
        <f>P38/SUM($P$9:$P$70)</f>
        <v>2.1834061135371178E-2</v>
      </c>
      <c r="AB38" s="174">
        <f>Master_Data[[#This Row],[Imp. Level]]/SUMIF(Master_Data[Subject],Master_Data[[#This Row],[Subject]],Master_Data[Imp. Level])</f>
        <v>5.6179775280898875E-2</v>
      </c>
      <c r="AC38" s="157">
        <f>Master_Data[[#This Row],[Subjectwise weights]]*Master_Data[[#This Row],[Confidence Level]]</f>
        <v>0.11235955056179775</v>
      </c>
      <c r="AD38" s="274" t="str">
        <f>Master_Data[[#This Row],[Prac. Book]]</f>
        <v>U</v>
      </c>
      <c r="AE38" s="274" t="str">
        <f>Master_Data[[#This Row],[GARP EOC Ques.]]</f>
        <v>U</v>
      </c>
    </row>
    <row r="39" spans="2:31" ht="27" customHeight="1" x14ac:dyDescent="0.3">
      <c r="B39" s="3">
        <v>31</v>
      </c>
      <c r="C39" s="182" t="str">
        <f ca="1">IF(Master_Data[[#This Row],[Column1]]=0,"",IF(Master_Data[[#This Row],[Column1]]=1,"Current Week",CONCATENATE("Week ",Master_Data[[#This Row],[Column1]])))</f>
        <v>Week 9</v>
      </c>
      <c r="D39" s="3">
        <f ca="1">ROUNDUP(Master_Data[[#This Row],[Column2]]/Working!$C$8,0)</f>
        <v>9</v>
      </c>
      <c r="E39" s="15">
        <f>SUM($F$9:F39)</f>
        <v>2.4629398148148147</v>
      </c>
      <c r="F39" s="27">
        <f>IF(Master_Data[[#This Row],[Lectures]]="D","",Master_Data[[#This Row],[Duration (hh:mm)]])</f>
        <v>0.125</v>
      </c>
      <c r="G39" s="2" t="s">
        <v>174</v>
      </c>
      <c r="H39" s="2">
        <v>25</v>
      </c>
      <c r="I39" s="2" t="s">
        <v>97</v>
      </c>
      <c r="J39" s="45" t="s">
        <v>241</v>
      </c>
      <c r="K39" s="16">
        <v>14</v>
      </c>
      <c r="L39" s="44">
        <v>3</v>
      </c>
      <c r="M39" s="44">
        <v>4</v>
      </c>
      <c r="N39" s="44">
        <v>3</v>
      </c>
      <c r="O39" s="44">
        <v>3</v>
      </c>
      <c r="P39" s="44">
        <v>5</v>
      </c>
      <c r="Q39" s="44">
        <v>4</v>
      </c>
      <c r="R39" s="13">
        <v>0.125</v>
      </c>
      <c r="S39" s="43">
        <f>(SUM($R$9:R39)/$R$4)*100</f>
        <v>28.818641285800179</v>
      </c>
      <c r="T39" s="28" t="s">
        <v>6</v>
      </c>
      <c r="U39" s="28" t="s">
        <v>6</v>
      </c>
      <c r="V39" s="28" t="s">
        <v>6</v>
      </c>
      <c r="W39" s="28" t="s">
        <v>6</v>
      </c>
      <c r="X39" s="28" t="s">
        <v>6</v>
      </c>
      <c r="Y39" s="158">
        <v>3</v>
      </c>
      <c r="Z39" s="17"/>
      <c r="AA39" s="173">
        <f>P39/SUM($P$9:$P$70)</f>
        <v>2.1834061135371178E-2</v>
      </c>
      <c r="AB39" s="174">
        <f>Master_Data[[#This Row],[Imp. Level]]/SUMIF(Master_Data[Subject],Master_Data[[#This Row],[Subject]],Master_Data[Imp. Level])</f>
        <v>5.6179775280898875E-2</v>
      </c>
      <c r="AC39" s="157">
        <f>Master_Data[[#This Row],[Subjectwise weights]]*Master_Data[[#This Row],[Confidence Level]]</f>
        <v>0.16853932584269662</v>
      </c>
      <c r="AD39" s="274" t="str">
        <f>Master_Data[[#This Row],[Prac. Book]]</f>
        <v>U</v>
      </c>
      <c r="AE39" s="274" t="str">
        <f>Master_Data[[#This Row],[GARP EOC Ques.]]</f>
        <v>U</v>
      </c>
    </row>
    <row r="40" spans="2:31" ht="27" customHeight="1" x14ac:dyDescent="0.3">
      <c r="B40" s="3">
        <v>32</v>
      </c>
      <c r="C40" s="182" t="str">
        <f ca="1">IF(Master_Data[[#This Row],[Column1]]=0,"",IF(Master_Data[[#This Row],[Column1]]=1,"Current Week",CONCATENATE("Week ",Master_Data[[#This Row],[Column1]])))</f>
        <v>Week 10</v>
      </c>
      <c r="D40" s="3">
        <f ca="1">ROUNDUP(Master_Data[[#This Row],[Column2]]/Working!$C$8,0)</f>
        <v>10</v>
      </c>
      <c r="E40" s="15">
        <f>SUM($F$9:F40)</f>
        <v>2.5879398148148147</v>
      </c>
      <c r="F40" s="27">
        <f>IF(Master_Data[[#This Row],[Lectures]]="D","",Master_Data[[#This Row],[Duration (hh:mm)]])</f>
        <v>0.125</v>
      </c>
      <c r="G40" s="2" t="s">
        <v>174</v>
      </c>
      <c r="H40" s="2">
        <v>26</v>
      </c>
      <c r="I40" s="2" t="s">
        <v>97</v>
      </c>
      <c r="J40" s="45" t="s">
        <v>242</v>
      </c>
      <c r="K40" s="16">
        <v>6</v>
      </c>
      <c r="L40" s="44">
        <v>3</v>
      </c>
      <c r="M40" s="44">
        <v>4</v>
      </c>
      <c r="N40" s="44">
        <v>3</v>
      </c>
      <c r="O40" s="44">
        <v>3</v>
      </c>
      <c r="P40" s="44">
        <v>5</v>
      </c>
      <c r="Q40" s="44">
        <v>4</v>
      </c>
      <c r="R40" s="12">
        <v>0.125</v>
      </c>
      <c r="S40" s="43">
        <f>(SUM($R$9:R40)/$R$4)*100</f>
        <v>30.281255247804715</v>
      </c>
      <c r="T40" s="28" t="s">
        <v>6</v>
      </c>
      <c r="U40" s="28" t="s">
        <v>6</v>
      </c>
      <c r="V40" s="28" t="s">
        <v>6</v>
      </c>
      <c r="W40" s="28" t="s">
        <v>6</v>
      </c>
      <c r="X40" s="28" t="s">
        <v>6</v>
      </c>
      <c r="Y40" s="158">
        <v>3</v>
      </c>
      <c r="Z40" s="17"/>
      <c r="AA40" s="173">
        <f>P40/SUM($P$9:$P$70)</f>
        <v>2.1834061135371178E-2</v>
      </c>
      <c r="AB40" s="174">
        <f>Master_Data[[#This Row],[Imp. Level]]/SUMIF(Master_Data[Subject],Master_Data[[#This Row],[Subject]],Master_Data[Imp. Level])</f>
        <v>5.6179775280898875E-2</v>
      </c>
      <c r="AC40" s="157">
        <f>Master_Data[[#This Row],[Subjectwise weights]]*Master_Data[[#This Row],[Confidence Level]]</f>
        <v>0.16853932584269662</v>
      </c>
      <c r="AD40" s="274" t="str">
        <f>Master_Data[[#This Row],[Prac. Book]]</f>
        <v>U</v>
      </c>
      <c r="AE40" s="274" t="str">
        <f>Master_Data[[#This Row],[GARP EOC Ques.]]</f>
        <v>U</v>
      </c>
    </row>
    <row r="41" spans="2:31" ht="27" customHeight="1" x14ac:dyDescent="0.3">
      <c r="B41" s="3">
        <v>33</v>
      </c>
      <c r="C41" s="182" t="str">
        <f ca="1">IF(Master_Data[[#This Row],[Column1]]=0,"",IF(Master_Data[[#This Row],[Column1]]=1,"Current Week",CONCATENATE("Week ",Master_Data[[#This Row],[Column1]])))</f>
        <v>Week 10</v>
      </c>
      <c r="D41" s="3">
        <f ca="1">ROUNDUP(Master_Data[[#This Row],[Column2]]/Working!$C$8,0)</f>
        <v>10</v>
      </c>
      <c r="E41" s="15">
        <f>SUM($F$9:F41)</f>
        <v>2.7129398148148147</v>
      </c>
      <c r="F41" s="27">
        <f>IF(Master_Data[[#This Row],[Lectures]]="D","",Master_Data[[#This Row],[Duration (hh:mm)]])</f>
        <v>0.125</v>
      </c>
      <c r="G41" s="2" t="s">
        <v>174</v>
      </c>
      <c r="H41" s="2">
        <v>29</v>
      </c>
      <c r="I41" s="2" t="s">
        <v>97</v>
      </c>
      <c r="J41" s="273" t="s">
        <v>174</v>
      </c>
      <c r="K41" s="16">
        <v>7</v>
      </c>
      <c r="L41" s="44">
        <v>4</v>
      </c>
      <c r="M41" s="44">
        <v>3</v>
      </c>
      <c r="N41" s="44">
        <v>4</v>
      </c>
      <c r="O41" s="44">
        <v>5</v>
      </c>
      <c r="P41" s="44">
        <v>5</v>
      </c>
      <c r="Q41" s="44">
        <v>4</v>
      </c>
      <c r="R41" s="13">
        <v>0.125</v>
      </c>
      <c r="S41" s="43">
        <f>(SUM($R$9:R41)/$R$4)*100</f>
        <v>31.743869209809255</v>
      </c>
      <c r="T41" s="28" t="s">
        <v>6</v>
      </c>
      <c r="U41" s="28" t="s">
        <v>6</v>
      </c>
      <c r="V41" s="28" t="s">
        <v>6</v>
      </c>
      <c r="W41" s="28" t="s">
        <v>6</v>
      </c>
      <c r="X41" s="28" t="s">
        <v>6</v>
      </c>
      <c r="Y41" s="158">
        <v>2</v>
      </c>
      <c r="Z41" s="17"/>
      <c r="AA41" s="173">
        <f>P41/SUM($P$9:$P$70)</f>
        <v>2.1834061135371178E-2</v>
      </c>
      <c r="AB41" s="174">
        <f>Master_Data[[#This Row],[Imp. Level]]/SUMIF(Master_Data[Subject],Master_Data[[#This Row],[Subject]],Master_Data[Imp. Level])</f>
        <v>5.6179775280898875E-2</v>
      </c>
      <c r="AC41" s="157">
        <f>Master_Data[[#This Row],[Subjectwise weights]]*Master_Data[[#This Row],[Confidence Level]]</f>
        <v>0.11235955056179775</v>
      </c>
      <c r="AD41" s="274" t="str">
        <f>Master_Data[[#This Row],[Prac. Book]]</f>
        <v>U</v>
      </c>
      <c r="AE41" s="274" t="str">
        <f>Master_Data[[#This Row],[GARP EOC Ques.]]</f>
        <v>U</v>
      </c>
    </row>
    <row r="42" spans="2:31" ht="27" customHeight="1" x14ac:dyDescent="0.3">
      <c r="B42" s="3">
        <v>34</v>
      </c>
      <c r="C42" s="182" t="str">
        <f ca="1">IF(Master_Data[[#This Row],[Column1]]=0,"",IF(Master_Data[[#This Row],[Column1]]=1,"Current Week",CONCATENATE("Week ",Master_Data[[#This Row],[Column1]])))</f>
        <v>Week 11</v>
      </c>
      <c r="D42" s="3">
        <f ca="1">ROUNDUP(Master_Data[[#This Row],[Column2]]/Working!$C$8,0)</f>
        <v>11</v>
      </c>
      <c r="E42" s="15">
        <f>SUM($F$9:F42)</f>
        <v>2.8379398148148147</v>
      </c>
      <c r="F42" s="27">
        <f>IF(Master_Data[[#This Row],[Lectures]]="D","",Master_Data[[#This Row],[Duration (hh:mm)]])</f>
        <v>0.125</v>
      </c>
      <c r="G42" s="2" t="s">
        <v>174</v>
      </c>
      <c r="H42" s="2">
        <v>30</v>
      </c>
      <c r="I42" s="2" t="s">
        <v>97</v>
      </c>
      <c r="J42" s="271" t="s">
        <v>243</v>
      </c>
      <c r="K42" s="16">
        <v>8</v>
      </c>
      <c r="L42" s="44">
        <v>4</v>
      </c>
      <c r="M42" s="44">
        <v>3</v>
      </c>
      <c r="N42" s="44">
        <v>4</v>
      </c>
      <c r="O42" s="44">
        <v>5</v>
      </c>
      <c r="P42" s="44">
        <v>5</v>
      </c>
      <c r="Q42" s="44">
        <v>4</v>
      </c>
      <c r="R42" s="13">
        <v>0.125</v>
      </c>
      <c r="S42" s="43">
        <f>(SUM($R$9:R42)/$R$4)*100</f>
        <v>33.206483171813794</v>
      </c>
      <c r="T42" s="28" t="s">
        <v>6</v>
      </c>
      <c r="U42" s="28" t="s">
        <v>6</v>
      </c>
      <c r="V42" s="28" t="s">
        <v>6</v>
      </c>
      <c r="W42" s="28" t="s">
        <v>6</v>
      </c>
      <c r="X42" s="28" t="s">
        <v>6</v>
      </c>
      <c r="Y42" s="158">
        <v>2</v>
      </c>
      <c r="Z42" s="17"/>
      <c r="AA42" s="173">
        <f>P42/SUM($P$9:$P$70)</f>
        <v>2.1834061135371178E-2</v>
      </c>
      <c r="AB42" s="174">
        <f>Master_Data[[#This Row],[Imp. Level]]/SUMIF(Master_Data[Subject],Master_Data[[#This Row],[Subject]],Master_Data[Imp. Level])</f>
        <v>5.6179775280898875E-2</v>
      </c>
      <c r="AC42" s="157">
        <f>Master_Data[[#This Row],[Subjectwise weights]]*Master_Data[[#This Row],[Confidence Level]]</f>
        <v>0.11235955056179775</v>
      </c>
      <c r="AD42" s="274" t="str">
        <f>Master_Data[[#This Row],[Prac. Book]]</f>
        <v>U</v>
      </c>
      <c r="AE42" s="274" t="str">
        <f>Master_Data[[#This Row],[GARP EOC Ques.]]</f>
        <v>U</v>
      </c>
    </row>
    <row r="43" spans="2:31" ht="27" customHeight="1" x14ac:dyDescent="0.3">
      <c r="B43" s="3">
        <v>35</v>
      </c>
      <c r="C43" s="182" t="str">
        <f ca="1">IF(Master_Data[[#This Row],[Column1]]=0,"",IF(Master_Data[[#This Row],[Column1]]=1,"Current Week",CONCATENATE("Week ",Master_Data[[#This Row],[Column1]])))</f>
        <v>Week 11</v>
      </c>
      <c r="D43" s="3">
        <f ca="1">ROUNDUP(Master_Data[[#This Row],[Column2]]/Working!$C$8,0)</f>
        <v>11</v>
      </c>
      <c r="E43" s="15">
        <f>SUM($F$9:F43)</f>
        <v>2.9629398148148147</v>
      </c>
      <c r="F43" s="27">
        <f>IF(Master_Data[[#This Row],[Lectures]]="D","",Master_Data[[#This Row],[Duration (hh:mm)]])</f>
        <v>0.125</v>
      </c>
      <c r="G43" s="2" t="s">
        <v>174</v>
      </c>
      <c r="H43" s="2">
        <v>31</v>
      </c>
      <c r="I43" s="2" t="s">
        <v>97</v>
      </c>
      <c r="J43" s="45" t="s">
        <v>244</v>
      </c>
      <c r="K43" s="16">
        <v>10</v>
      </c>
      <c r="L43" s="44">
        <v>4</v>
      </c>
      <c r="M43" s="44">
        <v>3</v>
      </c>
      <c r="N43" s="44">
        <v>4</v>
      </c>
      <c r="O43" s="44">
        <v>5</v>
      </c>
      <c r="P43" s="44">
        <v>5</v>
      </c>
      <c r="Q43" s="44">
        <v>4</v>
      </c>
      <c r="R43" s="13">
        <v>0.125</v>
      </c>
      <c r="S43" s="43">
        <f>(SUM($R$9:R43)/$R$4)*100</f>
        <v>34.669097133818333</v>
      </c>
      <c r="T43" s="28" t="s">
        <v>6</v>
      </c>
      <c r="U43" s="28" t="s">
        <v>6</v>
      </c>
      <c r="V43" s="28" t="s">
        <v>6</v>
      </c>
      <c r="W43" s="28" t="s">
        <v>6</v>
      </c>
      <c r="X43" s="28" t="s">
        <v>6</v>
      </c>
      <c r="Y43" s="158">
        <v>2</v>
      </c>
      <c r="Z43" s="17"/>
      <c r="AA43" s="173">
        <f>P43/SUM($P$9:$P$70)</f>
        <v>2.1834061135371178E-2</v>
      </c>
      <c r="AB43" s="174">
        <f>Master_Data[[#This Row],[Imp. Level]]/SUMIF(Master_Data[Subject],Master_Data[[#This Row],[Subject]],Master_Data[Imp. Level])</f>
        <v>5.6179775280898875E-2</v>
      </c>
      <c r="AC43" s="157">
        <f>Master_Data[[#This Row],[Subjectwise weights]]*Master_Data[[#This Row],[Confidence Level]]</f>
        <v>0.11235955056179775</v>
      </c>
      <c r="AD43" s="274" t="str">
        <f>Master_Data[[#This Row],[Prac. Book]]</f>
        <v>U</v>
      </c>
      <c r="AE43" s="274" t="str">
        <f>Master_Data[[#This Row],[GARP EOC Ques.]]</f>
        <v>U</v>
      </c>
    </row>
    <row r="44" spans="2:31" ht="27" customHeight="1" x14ac:dyDescent="0.3">
      <c r="B44" s="3">
        <v>36</v>
      </c>
      <c r="C44" s="182" t="str">
        <f ca="1">IF(Master_Data[[#This Row],[Column1]]=0,"",IF(Master_Data[[#This Row],[Column1]]=1,"Current Week",CONCATENATE("Week ",Master_Data[[#This Row],[Column1]])))</f>
        <v>Week 11</v>
      </c>
      <c r="D44" s="3">
        <f ca="1">ROUNDUP(Master_Data[[#This Row],[Column2]]/Working!$C$8,0)</f>
        <v>11</v>
      </c>
      <c r="E44" s="15">
        <f>SUM($F$9:F44)</f>
        <v>3.0436458333333332</v>
      </c>
      <c r="F44" s="27">
        <f>IF(Master_Data[[#This Row],[Lectures]]="D","",Master_Data[[#This Row],[Duration (hh:mm)]])</f>
        <v>8.070601851851851E-2</v>
      </c>
      <c r="G44" s="2" t="s">
        <v>174</v>
      </c>
      <c r="H44" s="2">
        <v>39</v>
      </c>
      <c r="I44" s="2" t="s">
        <v>96</v>
      </c>
      <c r="J44" s="45" t="s">
        <v>176</v>
      </c>
      <c r="K44" s="16">
        <v>8</v>
      </c>
      <c r="L44" s="44">
        <v>4</v>
      </c>
      <c r="M44" s="44">
        <v>2</v>
      </c>
      <c r="N44" s="44">
        <v>4</v>
      </c>
      <c r="O44" s="44">
        <v>4</v>
      </c>
      <c r="P44" s="44">
        <v>4</v>
      </c>
      <c r="Q44" s="44">
        <v>3</v>
      </c>
      <c r="R44" s="12">
        <v>8.070601851851851E-2</v>
      </c>
      <c r="S44" s="43">
        <f>(SUM($R$9:R44)/$R$4)*100</f>
        <v>35.613431129842191</v>
      </c>
      <c r="T44" s="28" t="s">
        <v>6</v>
      </c>
      <c r="U44" s="28" t="s">
        <v>6</v>
      </c>
      <c r="V44" s="28" t="s">
        <v>6</v>
      </c>
      <c r="W44" s="28" t="s">
        <v>6</v>
      </c>
      <c r="X44" s="28" t="s">
        <v>6</v>
      </c>
      <c r="Y44" s="158">
        <v>2</v>
      </c>
      <c r="Z44" s="17"/>
      <c r="AA44" s="173">
        <f>P44/SUM($P$9:$P$70)</f>
        <v>1.7467248908296942E-2</v>
      </c>
      <c r="AB44" s="174">
        <f>Master_Data[[#This Row],[Imp. Level]]/SUMIF(Master_Data[Subject],Master_Data[[#This Row],[Subject]],Master_Data[Imp. Level])</f>
        <v>4.49438202247191E-2</v>
      </c>
      <c r="AC44" s="157">
        <f>Master_Data[[#This Row],[Subjectwise weights]]*Master_Data[[#This Row],[Confidence Level]]</f>
        <v>8.98876404494382E-2</v>
      </c>
      <c r="AD44" s="274" t="str">
        <f>Master_Data[[#This Row],[Prac. Book]]</f>
        <v>U</v>
      </c>
      <c r="AE44" s="274" t="str">
        <f>Master_Data[[#This Row],[GARP EOC Ques.]]</f>
        <v>U</v>
      </c>
    </row>
    <row r="45" spans="2:31" ht="27" customHeight="1" x14ac:dyDescent="0.3">
      <c r="B45" s="3">
        <v>37</v>
      </c>
      <c r="C45" s="182" t="str">
        <f ca="1">IF(Master_Data[[#This Row],[Column1]]=0,"",IF(Master_Data[[#This Row],[Column1]]=1,"Current Week",CONCATENATE("Week ",Master_Data[[#This Row],[Column1]])))</f>
        <v>Week 11</v>
      </c>
      <c r="D45" s="3">
        <f ca="1">ROUNDUP(Master_Data[[#This Row],[Column2]]/Working!$C$8,0)</f>
        <v>11</v>
      </c>
      <c r="E45" s="27">
        <f>SUM($F$9:F45)</f>
        <v>3.1016898148148146</v>
      </c>
      <c r="F45" s="3">
        <f>IF(Master_Data[[#This Row],[Lectures]]="D","",Master_Data[[#This Row],[Duration (hh:mm)]])</f>
        <v>5.8043981481481481E-2</v>
      </c>
      <c r="G45" s="2" t="s">
        <v>174</v>
      </c>
      <c r="H45" s="2">
        <v>32</v>
      </c>
      <c r="I45" s="2" t="s">
        <v>96</v>
      </c>
      <c r="J45" s="45" t="s">
        <v>177</v>
      </c>
      <c r="K45" s="16">
        <v>8</v>
      </c>
      <c r="L45" s="44">
        <v>3</v>
      </c>
      <c r="M45" s="44">
        <v>1</v>
      </c>
      <c r="N45" s="44">
        <v>4</v>
      </c>
      <c r="O45" s="44">
        <v>3</v>
      </c>
      <c r="P45" s="44">
        <v>3</v>
      </c>
      <c r="Q45" s="44">
        <v>3</v>
      </c>
      <c r="R45" s="11">
        <v>5.8043981481481481E-2</v>
      </c>
      <c r="S45" s="43">
        <f>(SUM($R$9:R45)/$R$4)*100</f>
        <v>36.292598631643372</v>
      </c>
      <c r="T45" s="28" t="s">
        <v>6</v>
      </c>
      <c r="U45" s="28" t="s">
        <v>6</v>
      </c>
      <c r="V45" s="28" t="s">
        <v>6</v>
      </c>
      <c r="W45" s="28" t="s">
        <v>6</v>
      </c>
      <c r="X45" s="28" t="s">
        <v>6</v>
      </c>
      <c r="Y45" s="158">
        <v>3</v>
      </c>
      <c r="Z45" s="17"/>
      <c r="AA45" s="173">
        <f>P45/SUM($P$9:$P$111)</f>
        <v>8.4269662921348312E-3</v>
      </c>
      <c r="AB45" s="175">
        <f>Master_Data[[#This Row],[Imp. Level]]/SUMIF(Master_Data[Subject],Master_Data[[#This Row],[Subject]],Master_Data[Imp. Level])</f>
        <v>3.3707865168539325E-2</v>
      </c>
      <c r="AC45" s="176">
        <f>Master_Data[[#This Row],[Subjectwise weights]]*Master_Data[[#This Row],[Confidence Level]]</f>
        <v>0.10112359550561797</v>
      </c>
      <c r="AD45" s="274" t="str">
        <f>Master_Data[[#This Row],[Prac. Book]]</f>
        <v>U</v>
      </c>
      <c r="AE45" s="274" t="str">
        <f>Master_Data[[#This Row],[GARP EOC Ques.]]</f>
        <v>U</v>
      </c>
    </row>
    <row r="46" spans="2:31" ht="27" customHeight="1" x14ac:dyDescent="0.3">
      <c r="B46" s="3">
        <v>38</v>
      </c>
      <c r="C46" s="182" t="str">
        <f ca="1">IF(Master_Data[[#This Row],[Column1]]=0,"",IF(Master_Data[[#This Row],[Column1]]=1,"Current Week",CONCATENATE("Week ",Master_Data[[#This Row],[Column1]])))</f>
        <v>Week 12</v>
      </c>
      <c r="D46" s="3">
        <f ca="1">ROUNDUP(Master_Data[[#This Row],[Column2]]/Working!$C$8,0)</f>
        <v>12</v>
      </c>
      <c r="E46" s="27">
        <f>SUM($F$9:F46)</f>
        <v>3.1658912037037035</v>
      </c>
      <c r="F46" s="3">
        <f>IF(Master_Data[[#This Row],[Lectures]]="D","",Master_Data[[#This Row],[Duration (hh:mm)]])</f>
        <v>6.4201388888888891E-2</v>
      </c>
      <c r="G46" s="2" t="s">
        <v>174</v>
      </c>
      <c r="H46" s="2">
        <v>33</v>
      </c>
      <c r="I46" s="2" t="s">
        <v>96</v>
      </c>
      <c r="J46" s="45" t="s">
        <v>178</v>
      </c>
      <c r="K46" s="16">
        <v>6</v>
      </c>
      <c r="L46" s="44">
        <v>2</v>
      </c>
      <c r="M46" s="44">
        <v>1</v>
      </c>
      <c r="N46" s="44">
        <v>3</v>
      </c>
      <c r="O46" s="44">
        <v>3</v>
      </c>
      <c r="P46" s="44">
        <v>4</v>
      </c>
      <c r="Q46" s="44">
        <v>4</v>
      </c>
      <c r="R46" s="11">
        <v>6.4201388888888891E-2</v>
      </c>
      <c r="S46" s="43">
        <f>(SUM($R$9:R46)/$R$4)*100</f>
        <v>37.043813413795149</v>
      </c>
      <c r="T46" s="28" t="s">
        <v>6</v>
      </c>
      <c r="U46" s="28" t="s">
        <v>6</v>
      </c>
      <c r="V46" s="28" t="s">
        <v>6</v>
      </c>
      <c r="W46" s="28" t="s">
        <v>6</v>
      </c>
      <c r="X46" s="28" t="s">
        <v>6</v>
      </c>
      <c r="Y46" s="158">
        <v>2</v>
      </c>
      <c r="Z46" s="17"/>
      <c r="AA46" s="173">
        <f>P46/SUM($P$9:$P$111)</f>
        <v>1.1235955056179775E-2</v>
      </c>
      <c r="AB46" s="175">
        <f>Master_Data[[#This Row],[Imp. Level]]/SUMIF(Master_Data[Subject],Master_Data[[#This Row],[Subject]],Master_Data[Imp. Level])</f>
        <v>4.49438202247191E-2</v>
      </c>
      <c r="AC46" s="176">
        <f>Master_Data[[#This Row],[Subjectwise weights]]*Master_Data[[#This Row],[Confidence Level]]</f>
        <v>8.98876404494382E-2</v>
      </c>
      <c r="AD46" s="274" t="str">
        <f>Master_Data[[#This Row],[Prac. Book]]</f>
        <v>U</v>
      </c>
      <c r="AE46" s="274" t="str">
        <f>Master_Data[[#This Row],[GARP EOC Ques.]]</f>
        <v>U</v>
      </c>
    </row>
    <row r="47" spans="2:31" ht="27" customHeight="1" x14ac:dyDescent="0.3">
      <c r="B47" s="3">
        <v>39</v>
      </c>
      <c r="C47" s="182" t="str">
        <f ca="1">IF(Master_Data[[#This Row],[Column1]]=0,"",IF(Master_Data[[#This Row],[Column1]]=1,"Current Week",CONCATENATE("Week ",Master_Data[[#This Row],[Column1]])))</f>
        <v>Week 12</v>
      </c>
      <c r="D47" s="3">
        <f ca="1">ROUNDUP(Master_Data[[#This Row],[Column2]]/Working!$C$8,0)</f>
        <v>12</v>
      </c>
      <c r="E47" s="15">
        <f>SUM($F$9:F47)</f>
        <v>3.2684027777777773</v>
      </c>
      <c r="F47" s="27">
        <f>IF(Master_Data[[#This Row],[Lectures]]="D","",Master_Data[[#This Row],[Duration (hh:mm)]])</f>
        <v>0.10251157407407407</v>
      </c>
      <c r="G47" s="2" t="s">
        <v>174</v>
      </c>
      <c r="H47" s="2">
        <v>34</v>
      </c>
      <c r="I47" s="2" t="s">
        <v>96</v>
      </c>
      <c r="J47" s="45" t="s">
        <v>245</v>
      </c>
      <c r="K47" s="16">
        <v>11</v>
      </c>
      <c r="L47" s="44">
        <v>3</v>
      </c>
      <c r="M47" s="44">
        <v>1</v>
      </c>
      <c r="N47" s="44">
        <v>3</v>
      </c>
      <c r="O47" s="44">
        <v>4</v>
      </c>
      <c r="P47" s="44">
        <v>4</v>
      </c>
      <c r="Q47" s="44">
        <v>4</v>
      </c>
      <c r="R47" s="12">
        <v>0.10251157407407407</v>
      </c>
      <c r="S47" s="43">
        <f>(SUM($R$9:R47)/$R$4)*100</f>
        <v>38.243292289857571</v>
      </c>
      <c r="T47" s="28" t="s">
        <v>6</v>
      </c>
      <c r="U47" s="28" t="s">
        <v>6</v>
      </c>
      <c r="V47" s="28" t="s">
        <v>6</v>
      </c>
      <c r="W47" s="28" t="s">
        <v>6</v>
      </c>
      <c r="X47" s="28" t="s">
        <v>6</v>
      </c>
      <c r="Y47" s="158">
        <v>2</v>
      </c>
      <c r="Z47" s="17"/>
      <c r="AA47" s="173">
        <f>P47/SUM($P$9:$P$70)</f>
        <v>1.7467248908296942E-2</v>
      </c>
      <c r="AB47" s="174">
        <f>Master_Data[[#This Row],[Imp. Level]]/SUMIF(Master_Data[Subject],Master_Data[[#This Row],[Subject]],Master_Data[Imp. Level])</f>
        <v>4.49438202247191E-2</v>
      </c>
      <c r="AC47" s="157">
        <f>Master_Data[[#This Row],[Subjectwise weights]]*Master_Data[[#This Row],[Confidence Level]]</f>
        <v>8.98876404494382E-2</v>
      </c>
      <c r="AD47" s="274" t="str">
        <f>Master_Data[[#This Row],[Prac. Book]]</f>
        <v>U</v>
      </c>
      <c r="AE47" s="274" t="str">
        <f>Master_Data[[#This Row],[GARP EOC Ques.]]</f>
        <v>U</v>
      </c>
    </row>
    <row r="48" spans="2:31" ht="27" customHeight="1" x14ac:dyDescent="0.3">
      <c r="B48" s="3">
        <v>40</v>
      </c>
      <c r="C48" s="182" t="str">
        <f ca="1">IF(Master_Data[[#This Row],[Column1]]=0,"",IF(Master_Data[[#This Row],[Column1]]=1,"Current Week",CONCATENATE("Week ",Master_Data[[#This Row],[Column1]])))</f>
        <v>Week 13</v>
      </c>
      <c r="D48" s="3">
        <f ca="1">ROUNDUP(Master_Data[[#This Row],[Column2]]/Working!$C$8,0)</f>
        <v>13</v>
      </c>
      <c r="E48" s="151">
        <f>SUM($F$9:F50)</f>
        <v>3.5391666666666661</v>
      </c>
      <c r="F48" s="27">
        <f>IF(Master_Data[[#This Row],[Lectures]]="D","",Master_Data[[#This Row],[Duration (hh:mm)]])</f>
        <v>0.12922453703703704</v>
      </c>
      <c r="G48" s="2" t="s">
        <v>186</v>
      </c>
      <c r="H48" s="2">
        <v>64</v>
      </c>
      <c r="I48" s="2" t="s">
        <v>96</v>
      </c>
      <c r="J48" s="45" t="s">
        <v>186</v>
      </c>
      <c r="K48" s="16">
        <v>4</v>
      </c>
      <c r="L48" s="44">
        <v>4</v>
      </c>
      <c r="M48" s="44">
        <v>3</v>
      </c>
      <c r="N48" s="44">
        <v>4</v>
      </c>
      <c r="O48" s="44">
        <v>4</v>
      </c>
      <c r="P48" s="44">
        <v>5</v>
      </c>
      <c r="Q48" s="44">
        <v>4</v>
      </c>
      <c r="R48" s="11">
        <v>0.12922453703703704</v>
      </c>
      <c r="S48" s="43">
        <f>(SUM($R$9:R48)/$R$4)*100</f>
        <v>39.755337186689111</v>
      </c>
      <c r="T48" s="28" t="s">
        <v>6</v>
      </c>
      <c r="U48" s="28" t="s">
        <v>6</v>
      </c>
      <c r="V48" s="28" t="s">
        <v>6</v>
      </c>
      <c r="W48" s="28" t="s">
        <v>6</v>
      </c>
      <c r="X48" s="28" t="s">
        <v>6</v>
      </c>
      <c r="Y48" s="158">
        <v>2</v>
      </c>
      <c r="Z48" s="17"/>
      <c r="AA48" s="173">
        <f>P48/SUM($P$9:$P$70)</f>
        <v>2.1834061135371178E-2</v>
      </c>
      <c r="AB48" s="175">
        <f>Master_Data[[#This Row],[Imp. Level]]/SUMIF(Master_Data[Subject],Master_Data[[#This Row],[Subject]],Master_Data[Imp. Level])</f>
        <v>7.4626865671641784E-2</v>
      </c>
      <c r="AC48" s="176">
        <f>Master_Data[[#This Row],[Subjectwise weights]]*Master_Data[[#This Row],[Confidence Level]]</f>
        <v>0.14925373134328357</v>
      </c>
      <c r="AD48" s="274" t="str">
        <f>Master_Data[[#This Row],[Prac. Book]]</f>
        <v>U</v>
      </c>
      <c r="AE48" s="274" t="str">
        <f>Master_Data[[#This Row],[GARP EOC Ques.]]</f>
        <v>U</v>
      </c>
    </row>
    <row r="49" spans="2:31" ht="27" customHeight="1" x14ac:dyDescent="0.3">
      <c r="B49" s="3">
        <v>41</v>
      </c>
      <c r="C49" s="182" t="str">
        <f ca="1">IF(Master_Data[[#This Row],[Column1]]=0,"",IF(Master_Data[[#This Row],[Column1]]=1,"Current Week",CONCATENATE("Week ",Master_Data[[#This Row],[Column1]])))</f>
        <v>Week 13</v>
      </c>
      <c r="D49" s="3">
        <f ca="1">ROUNDUP(Master_Data[[#This Row],[Column2]]/Working!$C$8,0)</f>
        <v>13</v>
      </c>
      <c r="E49" s="15">
        <f>SUM($F$9:F49)</f>
        <v>3.4928472222222218</v>
      </c>
      <c r="F49" s="27">
        <f>IF(Master_Data[[#This Row],[Lectures]]="D","",Master_Data[[#This Row],[Duration (hh:mm)]])</f>
        <v>9.521990740740742E-2</v>
      </c>
      <c r="G49" s="2" t="s">
        <v>186</v>
      </c>
      <c r="H49" s="2">
        <v>65</v>
      </c>
      <c r="I49" s="2" t="s">
        <v>96</v>
      </c>
      <c r="J49" s="45" t="s">
        <v>187</v>
      </c>
      <c r="K49" s="16">
        <v>7</v>
      </c>
      <c r="L49" s="44">
        <v>4</v>
      </c>
      <c r="M49" s="44">
        <v>3</v>
      </c>
      <c r="N49" s="44">
        <v>4</v>
      </c>
      <c r="O49" s="44">
        <v>4</v>
      </c>
      <c r="P49" s="44">
        <v>4</v>
      </c>
      <c r="Q49" s="44">
        <v>4</v>
      </c>
      <c r="R49" s="11">
        <v>9.521990740740742E-2</v>
      </c>
      <c r="S49" s="43">
        <f>(SUM($R$9:R49)/$R$4)*100</f>
        <v>40.869496914967947</v>
      </c>
      <c r="T49" s="28" t="s">
        <v>6</v>
      </c>
      <c r="U49" s="28" t="s">
        <v>6</v>
      </c>
      <c r="V49" s="28" t="s">
        <v>6</v>
      </c>
      <c r="W49" s="28" t="s">
        <v>6</v>
      </c>
      <c r="X49" s="28" t="s">
        <v>6</v>
      </c>
      <c r="Y49" s="158">
        <v>2</v>
      </c>
      <c r="Z49" s="17"/>
      <c r="AA49" s="173">
        <f>P49/SUM($P$9:$P$70)</f>
        <v>1.7467248908296942E-2</v>
      </c>
      <c r="AB49" s="174">
        <f>Master_Data[[#This Row],[Imp. Level]]/SUMIF(Master_Data[Subject],Master_Data[[#This Row],[Subject]],Master_Data[Imp. Level])</f>
        <v>5.9701492537313432E-2</v>
      </c>
      <c r="AC49" s="157">
        <f>Master_Data[[#This Row],[Subjectwise weights]]*Master_Data[[#This Row],[Confidence Level]]</f>
        <v>0.11940298507462686</v>
      </c>
      <c r="AD49" s="274" t="str">
        <f>Master_Data[[#This Row],[Prac. Book]]</f>
        <v>U</v>
      </c>
      <c r="AE49" s="274" t="str">
        <f>Master_Data[[#This Row],[GARP EOC Ques.]]</f>
        <v>U</v>
      </c>
    </row>
    <row r="50" spans="2:31" ht="27" customHeight="1" x14ac:dyDescent="0.3">
      <c r="B50" s="3">
        <v>42</v>
      </c>
      <c r="C50" s="182" t="str">
        <f ca="1">IF(Master_Data[[#This Row],[Column1]]=0,"",IF(Master_Data[[#This Row],[Column1]]=1,"Current Week",CONCATENATE("Week ",Master_Data[[#This Row],[Column1]])))</f>
        <v>Week 13</v>
      </c>
      <c r="D50" s="3">
        <f ca="1">ROUNDUP(Master_Data[[#This Row],[Column2]]/Working!$C$8,0)</f>
        <v>13</v>
      </c>
      <c r="E50" s="15">
        <f>SUM($F$9:F50)</f>
        <v>3.5391666666666661</v>
      </c>
      <c r="F50" s="27">
        <f>IF(Master_Data[[#This Row],[Lectures]]="D","",Master_Data[[#This Row],[Duration (hh:mm)]])</f>
        <v>4.6319444444444441E-2</v>
      </c>
      <c r="G50" s="2" t="s">
        <v>186</v>
      </c>
      <c r="H50" s="2">
        <v>66</v>
      </c>
      <c r="I50" s="2" t="s">
        <v>96</v>
      </c>
      <c r="J50" s="45" t="s">
        <v>188</v>
      </c>
      <c r="K50" s="16">
        <v>3</v>
      </c>
      <c r="L50" s="44">
        <v>2</v>
      </c>
      <c r="M50" s="44">
        <v>1</v>
      </c>
      <c r="N50" s="44">
        <v>2</v>
      </c>
      <c r="O50" s="44">
        <v>2</v>
      </c>
      <c r="P50" s="44">
        <v>3</v>
      </c>
      <c r="Q50" s="44">
        <v>3</v>
      </c>
      <c r="R50" s="11">
        <v>4.6319444444444441E-2</v>
      </c>
      <c r="S50" s="43">
        <f>(SUM($R$9:R50)/$R$4)*100</f>
        <v>41.411476644221842</v>
      </c>
      <c r="T50" s="28" t="s">
        <v>6</v>
      </c>
      <c r="U50" s="28" t="s">
        <v>6</v>
      </c>
      <c r="V50" s="28" t="s">
        <v>6</v>
      </c>
      <c r="W50" s="28" t="s">
        <v>6</v>
      </c>
      <c r="X50" s="28" t="s">
        <v>6</v>
      </c>
      <c r="Y50" s="158">
        <v>2</v>
      </c>
      <c r="Z50" s="17"/>
      <c r="AA50" s="173">
        <f>P50/SUM($P$9:$P$70)</f>
        <v>1.3100436681222707E-2</v>
      </c>
      <c r="AB50" s="174">
        <f>Master_Data[[#This Row],[Imp. Level]]/SUMIF(Master_Data[Subject],Master_Data[[#This Row],[Subject]],Master_Data[Imp. Level])</f>
        <v>4.4776119402985072E-2</v>
      </c>
      <c r="AC50" s="157">
        <f>Master_Data[[#This Row],[Subjectwise weights]]*Master_Data[[#This Row],[Confidence Level]]</f>
        <v>8.9552238805970144E-2</v>
      </c>
      <c r="AD50" s="274" t="str">
        <f>Master_Data[[#This Row],[Prac. Book]]</f>
        <v>U</v>
      </c>
      <c r="AE50" s="274" t="str">
        <f>Master_Data[[#This Row],[GARP EOC Ques.]]</f>
        <v>U</v>
      </c>
    </row>
    <row r="51" spans="2:31" ht="27" customHeight="1" x14ac:dyDescent="0.3">
      <c r="B51" s="3">
        <v>43</v>
      </c>
      <c r="C51" s="182" t="str">
        <f ca="1">IF(Master_Data[[#This Row],[Column1]]=0,"",IF(Master_Data[[#This Row],[Column1]]=1,"Current Week",CONCATENATE("Week ",Master_Data[[#This Row],[Column1]])))</f>
        <v>Week 13</v>
      </c>
      <c r="D51" s="3">
        <f ca="1">ROUNDUP(Master_Data[[#This Row],[Column2]]/Working!$C$8,0)</f>
        <v>13</v>
      </c>
      <c r="E51" s="15">
        <f>SUM($F$9:F51)</f>
        <v>3.6736921296296292</v>
      </c>
      <c r="F51" s="27">
        <f>IF(Master_Data[[#This Row],[Lectures]]="D","",Master_Data[[#This Row],[Duration (hh:mm)]])</f>
        <v>0.13452546296296297</v>
      </c>
      <c r="G51" s="2" t="s">
        <v>174</v>
      </c>
      <c r="H51" s="2">
        <v>37</v>
      </c>
      <c r="I51" s="2" t="s">
        <v>96</v>
      </c>
      <c r="J51" s="45" t="s">
        <v>179</v>
      </c>
      <c r="K51" s="16">
        <v>17</v>
      </c>
      <c r="L51" s="44">
        <v>4</v>
      </c>
      <c r="M51" s="44">
        <v>2</v>
      </c>
      <c r="N51" s="44">
        <v>4</v>
      </c>
      <c r="O51" s="44">
        <v>4</v>
      </c>
      <c r="P51" s="44">
        <v>5</v>
      </c>
      <c r="Q51" s="44">
        <v>4</v>
      </c>
      <c r="R51" s="11">
        <v>0.13452546296296297</v>
      </c>
      <c r="S51" s="43">
        <f>(SUM($R$9:R51)/$R$4)*100</f>
        <v>42.985547207219881</v>
      </c>
      <c r="T51" s="28" t="s">
        <v>6</v>
      </c>
      <c r="U51" s="28" t="s">
        <v>6</v>
      </c>
      <c r="V51" s="28" t="s">
        <v>6</v>
      </c>
      <c r="W51" s="28" t="s">
        <v>6</v>
      </c>
      <c r="X51" s="28" t="s">
        <v>6</v>
      </c>
      <c r="Y51" s="158">
        <v>2</v>
      </c>
      <c r="Z51" s="17"/>
      <c r="AA51" s="173">
        <f>P51/SUM($P$9:$P$70)</f>
        <v>2.1834061135371178E-2</v>
      </c>
      <c r="AB51" s="174">
        <f>Master_Data[[#This Row],[Imp. Level]]/SUMIF(Master_Data[Subject],Master_Data[[#This Row],[Subject]],Master_Data[Imp. Level])</f>
        <v>5.6179775280898875E-2</v>
      </c>
      <c r="AC51" s="157">
        <f>Master_Data[[#This Row],[Subjectwise weights]]*Master_Data[[#This Row],[Confidence Level]]</f>
        <v>0.11235955056179775</v>
      </c>
      <c r="AD51" s="274" t="str">
        <f>Master_Data[[#This Row],[Prac. Book]]</f>
        <v>U</v>
      </c>
      <c r="AE51" s="274" t="str">
        <f>Master_Data[[#This Row],[GARP EOC Ques.]]</f>
        <v>U</v>
      </c>
    </row>
    <row r="52" spans="2:31" ht="27" customHeight="1" x14ac:dyDescent="0.3">
      <c r="B52" s="3">
        <v>44</v>
      </c>
      <c r="C52" s="182" t="str">
        <f ca="1">IF(Master_Data[[#This Row],[Column1]]=0,"",IF(Master_Data[[#This Row],[Column1]]=1,"Current Week",CONCATENATE("Week ",Master_Data[[#This Row],[Column1]])))</f>
        <v>Week 14</v>
      </c>
      <c r="D52" s="3">
        <f ca="1">ROUNDUP(Master_Data[[#This Row],[Column2]]/Working!$C$8,0)</f>
        <v>14</v>
      </c>
      <c r="E52" s="15">
        <f>SUM($F$9:F52)</f>
        <v>3.7910416666666662</v>
      </c>
      <c r="F52" s="27">
        <f>IF(Master_Data[[#This Row],[Lectures]]="D","",Master_Data[[#This Row],[Duration (hh:mm)]])</f>
        <v>0.11734953703703704</v>
      </c>
      <c r="G52" s="2" t="s">
        <v>174</v>
      </c>
      <c r="H52" s="2">
        <v>36</v>
      </c>
      <c r="I52" s="2" t="s">
        <v>96</v>
      </c>
      <c r="J52" s="45" t="s">
        <v>180</v>
      </c>
      <c r="K52" s="16">
        <v>9</v>
      </c>
      <c r="L52" s="44">
        <v>4</v>
      </c>
      <c r="M52" s="44">
        <v>3</v>
      </c>
      <c r="N52" s="44">
        <v>5</v>
      </c>
      <c r="O52" s="44">
        <v>5</v>
      </c>
      <c r="P52" s="44">
        <v>5</v>
      </c>
      <c r="Q52" s="44">
        <v>4</v>
      </c>
      <c r="R52" s="11">
        <v>0.11734953703703704</v>
      </c>
      <c r="S52" s="43">
        <f>(SUM($R$9:R52)/$R$4)*100</f>
        <v>44.358643777660994</v>
      </c>
      <c r="T52" s="28" t="s">
        <v>6</v>
      </c>
      <c r="U52" s="28" t="s">
        <v>6</v>
      </c>
      <c r="V52" s="28" t="s">
        <v>6</v>
      </c>
      <c r="W52" s="28" t="s">
        <v>6</v>
      </c>
      <c r="X52" s="28" t="s">
        <v>6</v>
      </c>
      <c r="Y52" s="158">
        <v>2</v>
      </c>
      <c r="Z52" s="17"/>
      <c r="AA52" s="173">
        <f>P52/SUM($P$9:$P$70)</f>
        <v>2.1834061135371178E-2</v>
      </c>
      <c r="AB52" s="175">
        <f>Master_Data[[#This Row],[Imp. Level]]/SUMIF(Master_Data[Subject],Master_Data[[#This Row],[Subject]],Master_Data[Imp. Level])</f>
        <v>5.6179775280898875E-2</v>
      </c>
      <c r="AC52" s="176">
        <f>Master_Data[[#This Row],[Subjectwise weights]]*Master_Data[[#This Row],[Confidence Level]]</f>
        <v>0.11235955056179775</v>
      </c>
      <c r="AD52" s="274" t="str">
        <f>Master_Data[[#This Row],[Prac. Book]]</f>
        <v>U</v>
      </c>
      <c r="AE52" s="274" t="str">
        <f>Master_Data[[#This Row],[GARP EOC Ques.]]</f>
        <v>U</v>
      </c>
    </row>
    <row r="53" spans="2:31" ht="27" customHeight="1" x14ac:dyDescent="0.3">
      <c r="B53" s="3">
        <v>45</v>
      </c>
      <c r="C53" s="182" t="str">
        <f ca="1">IF(Master_Data[[#This Row],[Column1]]=0,"",IF(Master_Data[[#This Row],[Column1]]=1,"Current Week",CONCATENATE("Week ",Master_Data[[#This Row],[Column1]])))</f>
        <v>Week 14</v>
      </c>
      <c r="D53" s="3">
        <f ca="1">ROUNDUP(Master_Data[[#This Row],[Column2]]/Working!$C$8,0)</f>
        <v>14</v>
      </c>
      <c r="E53" s="151">
        <f>SUM($F$9:F53)</f>
        <v>3.8705671296296291</v>
      </c>
      <c r="F53" s="27">
        <f>IF(Master_Data[[#This Row],[Lectures]]="D","",Master_Data[[#This Row],[Duration (hh:mm)]])</f>
        <v>7.9525462962962964E-2</v>
      </c>
      <c r="G53" s="2" t="s">
        <v>174</v>
      </c>
      <c r="H53" s="2">
        <v>38</v>
      </c>
      <c r="I53" s="2" t="s">
        <v>95</v>
      </c>
      <c r="J53" s="45" t="s">
        <v>181</v>
      </c>
      <c r="K53" s="16">
        <v>8</v>
      </c>
      <c r="L53" s="44">
        <v>2</v>
      </c>
      <c r="M53" s="44">
        <v>2</v>
      </c>
      <c r="N53" s="44">
        <v>4</v>
      </c>
      <c r="O53" s="44">
        <v>5</v>
      </c>
      <c r="P53" s="44">
        <v>3</v>
      </c>
      <c r="Q53" s="44">
        <v>3</v>
      </c>
      <c r="R53" s="11">
        <v>7.9525462962962964E-2</v>
      </c>
      <c r="S53" s="43">
        <f>(SUM($R$9:R53)/$R$4)*100</f>
        <v>45.289164197377033</v>
      </c>
      <c r="T53" s="28" t="s">
        <v>6</v>
      </c>
      <c r="U53" s="28" t="s">
        <v>6</v>
      </c>
      <c r="V53" s="28" t="s">
        <v>6</v>
      </c>
      <c r="W53" s="28" t="s">
        <v>6</v>
      </c>
      <c r="X53" s="28" t="s">
        <v>6</v>
      </c>
      <c r="Y53" s="158">
        <v>2</v>
      </c>
      <c r="Z53" s="17"/>
      <c r="AA53" s="173">
        <f>P53/SUM($P$9:$P$111)</f>
        <v>8.4269662921348312E-3</v>
      </c>
      <c r="AB53" s="174">
        <f>Master_Data[[#This Row],[Imp. Level]]/SUMIF(Master_Data[Subject],Master_Data[[#This Row],[Subject]],Master_Data[Imp. Level])</f>
        <v>3.3707865168539325E-2</v>
      </c>
      <c r="AC53" s="157">
        <f>Master_Data[[#This Row],[Subjectwise weights]]*Master_Data[[#This Row],[Confidence Level]]</f>
        <v>6.741573033707865E-2</v>
      </c>
      <c r="AD53" s="274" t="str">
        <f>Master_Data[[#This Row],[Prac. Book]]</f>
        <v>U</v>
      </c>
      <c r="AE53" s="274" t="str">
        <f>Master_Data[[#This Row],[GARP EOC Ques.]]</f>
        <v>U</v>
      </c>
    </row>
    <row r="54" spans="2:31" ht="27" customHeight="1" x14ac:dyDescent="0.3">
      <c r="B54" s="3">
        <v>46</v>
      </c>
      <c r="C54" s="182" t="str">
        <f ca="1">IF(Master_Data[[#This Row],[Column1]]=0,"",IF(Master_Data[[#This Row],[Column1]]=1,"Current Week",CONCATENATE("Week ",Master_Data[[#This Row],[Column1]])))</f>
        <v>Week 15</v>
      </c>
      <c r="D54" s="3">
        <f ca="1">ROUNDUP(Master_Data[[#This Row],[Column2]]/Working!$C$8,0)</f>
        <v>15</v>
      </c>
      <c r="E54" s="151">
        <f>SUM($F$9:F54)</f>
        <v>3.9955671296296291</v>
      </c>
      <c r="F54" s="27">
        <f>IF(Master_Data[[#This Row],[Lectures]]="D","",Master_Data[[#This Row],[Duration (hh:mm)]])</f>
        <v>0.125</v>
      </c>
      <c r="G54" s="2" t="s">
        <v>174</v>
      </c>
      <c r="H54" s="2">
        <v>19</v>
      </c>
      <c r="I54" s="2" t="s">
        <v>97</v>
      </c>
      <c r="J54" s="45" t="s">
        <v>246</v>
      </c>
      <c r="K54" s="16">
        <v>10</v>
      </c>
      <c r="L54" s="44">
        <v>2</v>
      </c>
      <c r="M54" s="44">
        <v>2</v>
      </c>
      <c r="N54" s="44">
        <v>4</v>
      </c>
      <c r="O54" s="44">
        <v>5</v>
      </c>
      <c r="P54" s="44">
        <v>3</v>
      </c>
      <c r="Q54" s="44">
        <v>3</v>
      </c>
      <c r="R54" s="11">
        <v>0.125</v>
      </c>
      <c r="S54" s="43">
        <f>(SUM($R$9:R54)/$R$4)*100</f>
        <v>46.751778159381566</v>
      </c>
      <c r="T54" s="28" t="s">
        <v>6</v>
      </c>
      <c r="U54" s="28" t="s">
        <v>6</v>
      </c>
      <c r="V54" s="28" t="s">
        <v>6</v>
      </c>
      <c r="W54" s="28" t="s">
        <v>6</v>
      </c>
      <c r="X54" s="28" t="s">
        <v>6</v>
      </c>
      <c r="Y54" s="158">
        <v>2</v>
      </c>
      <c r="Z54" s="17"/>
      <c r="AA54" s="173">
        <f>P54/SUM($P$9:$P$111)</f>
        <v>8.4269662921348312E-3</v>
      </c>
      <c r="AB54" s="174">
        <f>Master_Data[[#This Row],[Imp. Level]]/SUMIF(Master_Data[Subject],Master_Data[[#This Row],[Subject]],Master_Data[Imp. Level])</f>
        <v>3.3707865168539325E-2</v>
      </c>
      <c r="AC54" s="157">
        <f>Master_Data[[#This Row],[Subjectwise weights]]*Master_Data[[#This Row],[Confidence Level]]</f>
        <v>6.741573033707865E-2</v>
      </c>
      <c r="AD54" s="274" t="str">
        <f>Master_Data[[#This Row],[Prac. Book]]</f>
        <v>U</v>
      </c>
      <c r="AE54" s="274" t="str">
        <f>Master_Data[[#This Row],[GARP EOC Ques.]]</f>
        <v>U</v>
      </c>
    </row>
    <row r="55" spans="2:31" ht="27" customHeight="1" x14ac:dyDescent="0.3">
      <c r="B55" s="3">
        <v>47</v>
      </c>
      <c r="C55" s="182" t="str">
        <f ca="1">IF(Master_Data[[#This Row],[Column1]]=0,"",IF(Master_Data[[#This Row],[Column1]]=1,"Current Week",CONCATENATE("Week ",Master_Data[[#This Row],[Column1]])))</f>
        <v>Week 20</v>
      </c>
      <c r="D55" s="3">
        <f ca="1">ROUNDUP(Master_Data[[#This Row],[Column2]]/Working!$C$8,0)</f>
        <v>20</v>
      </c>
      <c r="E55" s="151">
        <f>SUM($F$9:F68)</f>
        <v>5.4830671296296298</v>
      </c>
      <c r="F55" s="27">
        <f>IF(Master_Data[[#This Row],[Lectures]]="D","",Master_Data[[#This Row],[Duration (hh:mm)]])</f>
        <v>0.10827546296296296</v>
      </c>
      <c r="G55" s="2" t="s">
        <v>185</v>
      </c>
      <c r="H55" s="2">
        <v>41</v>
      </c>
      <c r="I55" s="2" t="s">
        <v>96</v>
      </c>
      <c r="J55" s="45" t="s">
        <v>218</v>
      </c>
      <c r="K55" s="16">
        <v>4</v>
      </c>
      <c r="L55" s="44">
        <v>2</v>
      </c>
      <c r="M55" s="44">
        <v>1</v>
      </c>
      <c r="N55" s="44">
        <v>2</v>
      </c>
      <c r="O55" s="44">
        <v>2</v>
      </c>
      <c r="P55" s="44">
        <v>3</v>
      </c>
      <c r="Q55" s="44">
        <v>4</v>
      </c>
      <c r="R55" s="11">
        <v>0.10827546296296296</v>
      </c>
      <c r="S55" s="43">
        <f>(SUM($R$9:R55)/$R$4)*100</f>
        <v>48.018699790358646</v>
      </c>
      <c r="T55" s="28" t="s">
        <v>6</v>
      </c>
      <c r="U55" s="28" t="s">
        <v>6</v>
      </c>
      <c r="V55" s="28" t="s">
        <v>6</v>
      </c>
      <c r="W55" s="28" t="s">
        <v>6</v>
      </c>
      <c r="X55" s="28" t="s">
        <v>6</v>
      </c>
      <c r="Y55" s="158">
        <v>2</v>
      </c>
      <c r="Z55" s="17"/>
      <c r="AA55" s="173">
        <f>P55/SUM($P$9:$P$111)</f>
        <v>8.4269662921348312E-3</v>
      </c>
      <c r="AB55" s="174">
        <f>Master_Data[[#This Row],[Imp. Level]]/SUMIF(Master_Data[Subject],Master_Data[[#This Row],[Subject]],Master_Data[Imp. Level])</f>
        <v>4.1666666666666664E-2</v>
      </c>
      <c r="AC55" s="157">
        <f>Master_Data[[#This Row],[Subjectwise weights]]*Master_Data[[#This Row],[Confidence Level]]</f>
        <v>8.3333333333333329E-2</v>
      </c>
      <c r="AD55" s="274" t="str">
        <f>Master_Data[[#This Row],[Prac. Book]]</f>
        <v>U</v>
      </c>
      <c r="AE55" s="274" t="str">
        <f>Master_Data[[#This Row],[GARP EOC Ques.]]</f>
        <v>U</v>
      </c>
    </row>
    <row r="56" spans="2:31" ht="27" customHeight="1" x14ac:dyDescent="0.3">
      <c r="B56" s="3">
        <v>48</v>
      </c>
      <c r="C56" s="182" t="str">
        <f ca="1">IF(Master_Data[[#This Row],[Column1]]=0,"",IF(Master_Data[[#This Row],[Column1]]=1,"Current Week",CONCATENATE("Week ",Master_Data[[#This Row],[Column1]])))</f>
        <v>Week 15</v>
      </c>
      <c r="D56" s="3">
        <f ca="1">ROUNDUP(Master_Data[[#This Row],[Column2]]/Working!$C$8,0)</f>
        <v>15</v>
      </c>
      <c r="E56" s="151">
        <f>SUM($F$9:F56)</f>
        <v>4.1839467592592587</v>
      </c>
      <c r="F56" s="27">
        <f>IF(Master_Data[[#This Row],[Lectures]]="D","",Master_Data[[#This Row],[Duration (hh:mm)]])</f>
        <v>8.0104166666666657E-2</v>
      </c>
      <c r="G56" s="2" t="s">
        <v>185</v>
      </c>
      <c r="H56" s="2">
        <v>42</v>
      </c>
      <c r="I56" s="2" t="s">
        <v>96</v>
      </c>
      <c r="J56" s="45" t="s">
        <v>219</v>
      </c>
      <c r="K56" s="16">
        <v>4</v>
      </c>
      <c r="L56" s="44">
        <v>2</v>
      </c>
      <c r="M56" s="44">
        <v>1</v>
      </c>
      <c r="N56" s="44">
        <v>2</v>
      </c>
      <c r="O56" s="44">
        <v>2</v>
      </c>
      <c r="P56" s="44">
        <v>2</v>
      </c>
      <c r="Q56" s="44">
        <v>3</v>
      </c>
      <c r="R56" s="11">
        <v>8.0104166666666657E-2</v>
      </c>
      <c r="S56" s="43">
        <f>(SUM($R$9:R56)/$R$4)*100</f>
        <v>48.955991571009889</v>
      </c>
      <c r="T56" s="28" t="s">
        <v>6</v>
      </c>
      <c r="U56" s="28" t="s">
        <v>6</v>
      </c>
      <c r="V56" s="28" t="s">
        <v>6</v>
      </c>
      <c r="W56" s="28" t="s">
        <v>6</v>
      </c>
      <c r="X56" s="28" t="s">
        <v>6</v>
      </c>
      <c r="Y56" s="158">
        <v>3</v>
      </c>
      <c r="Z56" s="17"/>
      <c r="AA56" s="173">
        <f>P56/SUM($P$9:$P$111)</f>
        <v>5.6179775280898875E-3</v>
      </c>
      <c r="AB56" s="174">
        <f>Master_Data[[#This Row],[Imp. Level]]/SUMIF(Master_Data[Subject],Master_Data[[#This Row],[Subject]],Master_Data[Imp. Level])</f>
        <v>2.7777777777777776E-2</v>
      </c>
      <c r="AC56" s="157">
        <f>Master_Data[[#This Row],[Subjectwise weights]]*Master_Data[[#This Row],[Confidence Level]]</f>
        <v>8.3333333333333329E-2</v>
      </c>
      <c r="AD56" s="274" t="str">
        <f>Master_Data[[#This Row],[Prac. Book]]</f>
        <v>U</v>
      </c>
      <c r="AE56" s="274" t="str">
        <f>Master_Data[[#This Row],[GARP EOC Ques.]]</f>
        <v>U</v>
      </c>
    </row>
    <row r="57" spans="2:31" ht="27" customHeight="1" x14ac:dyDescent="0.3">
      <c r="B57" s="3">
        <v>49</v>
      </c>
      <c r="C57" s="182" t="str">
        <f ca="1">IF(Master_Data[[#This Row],[Column1]]=0,"",IF(Master_Data[[#This Row],[Column1]]=1,"Current Week",CONCATENATE("Week ",Master_Data[[#This Row],[Column1]])))</f>
        <v>Week 16</v>
      </c>
      <c r="D57" s="3">
        <f ca="1">ROUNDUP(Master_Data[[#This Row],[Column2]]/Working!$C$8,0)</f>
        <v>16</v>
      </c>
      <c r="E57" s="151">
        <f>SUM($F$9:F57)</f>
        <v>4.3130439814814814</v>
      </c>
      <c r="F57" s="27">
        <f>IF(Master_Data[[#This Row],[Lectures]]="D","",Master_Data[[#This Row],[Duration (hh:mm)]])</f>
        <v>0.12909722222222222</v>
      </c>
      <c r="G57" s="2" t="s">
        <v>185</v>
      </c>
      <c r="H57" s="2">
        <v>43</v>
      </c>
      <c r="I57" s="2" t="s">
        <v>95</v>
      </c>
      <c r="J57" s="45" t="s">
        <v>220</v>
      </c>
      <c r="K57" s="16">
        <v>7</v>
      </c>
      <c r="L57" s="44">
        <v>4</v>
      </c>
      <c r="M57" s="44">
        <v>1</v>
      </c>
      <c r="N57" s="44">
        <v>3</v>
      </c>
      <c r="O57" s="44">
        <v>2</v>
      </c>
      <c r="P57" s="44">
        <v>4</v>
      </c>
      <c r="Q57" s="44">
        <v>3</v>
      </c>
      <c r="R57" s="11">
        <v>0.12909722222222222</v>
      </c>
      <c r="S57" s="43">
        <f>(SUM($R$9:R57)/$R$4)*100</f>
        <v>50.466546768435691</v>
      </c>
      <c r="T57" s="28" t="s">
        <v>6</v>
      </c>
      <c r="U57" s="28" t="s">
        <v>6</v>
      </c>
      <c r="V57" s="28" t="s">
        <v>6</v>
      </c>
      <c r="W57" s="28" t="s">
        <v>6</v>
      </c>
      <c r="X57" s="28" t="s">
        <v>6</v>
      </c>
      <c r="Y57" s="158">
        <v>3</v>
      </c>
      <c r="Z57" s="17"/>
      <c r="AA57" s="173">
        <f>P57/SUM($P$9:$P$111)</f>
        <v>1.1235955056179775E-2</v>
      </c>
      <c r="AB57" s="174">
        <f>Master_Data[[#This Row],[Imp. Level]]/SUMIF(Master_Data[Subject],Master_Data[[#This Row],[Subject]],Master_Data[Imp. Level])</f>
        <v>5.5555555555555552E-2</v>
      </c>
      <c r="AC57" s="157">
        <f>Master_Data[[#This Row],[Subjectwise weights]]*Master_Data[[#This Row],[Confidence Level]]</f>
        <v>0.16666666666666666</v>
      </c>
      <c r="AD57" s="274" t="str">
        <f>Master_Data[[#This Row],[Prac. Book]]</f>
        <v>U</v>
      </c>
      <c r="AE57" s="274" t="str">
        <f>Master_Data[[#This Row],[GARP EOC Ques.]]</f>
        <v>U</v>
      </c>
    </row>
    <row r="58" spans="2:31" ht="27" customHeight="1" x14ac:dyDescent="0.3">
      <c r="B58" s="3">
        <v>50</v>
      </c>
      <c r="C58" s="182" t="str">
        <f ca="1">IF(Master_Data[[#This Row],[Column1]]=0,"",IF(Master_Data[[#This Row],[Column1]]=1,"Current Week",CONCATENATE("Week ",Master_Data[[#This Row],[Column1]])))</f>
        <v>Week 16</v>
      </c>
      <c r="D58" s="3">
        <f ca="1">ROUNDUP(Master_Data[[#This Row],[Column2]]/Working!$C$8,0)</f>
        <v>16</v>
      </c>
      <c r="E58" s="151">
        <f>SUM($F$9:F58)</f>
        <v>4.4137500000000003</v>
      </c>
      <c r="F58" s="27">
        <f>IF(Master_Data[[#This Row],[Lectures]]="D","",Master_Data[[#This Row],[Duration (hh:mm)]])</f>
        <v>0.10070601851851851</v>
      </c>
      <c r="G58" s="2" t="s">
        <v>185</v>
      </c>
      <c r="H58" s="2">
        <v>44</v>
      </c>
      <c r="I58" s="2" t="s">
        <v>95</v>
      </c>
      <c r="J58" s="45" t="s">
        <v>221</v>
      </c>
      <c r="K58" s="16">
        <v>7</v>
      </c>
      <c r="L58" s="44">
        <v>3</v>
      </c>
      <c r="M58" s="44">
        <v>1</v>
      </c>
      <c r="N58" s="44">
        <v>3</v>
      </c>
      <c r="O58" s="44">
        <v>2</v>
      </c>
      <c r="P58" s="44">
        <v>3</v>
      </c>
      <c r="Q58" s="44">
        <v>2</v>
      </c>
      <c r="R58" s="11">
        <v>0.10070601851851851</v>
      </c>
      <c r="S58" s="43">
        <f>(SUM($R$9:R58)/$R$4)*100</f>
        <v>51.644898998380285</v>
      </c>
      <c r="T58" s="28" t="s">
        <v>6</v>
      </c>
      <c r="U58" s="28" t="s">
        <v>6</v>
      </c>
      <c r="V58" s="28" t="s">
        <v>6</v>
      </c>
      <c r="W58" s="28" t="s">
        <v>6</v>
      </c>
      <c r="X58" s="28" t="s">
        <v>6</v>
      </c>
      <c r="Y58" s="158">
        <v>2</v>
      </c>
      <c r="Z58" s="17"/>
      <c r="AA58" s="173">
        <f>P58/SUM($P$9:$P$111)</f>
        <v>8.4269662921348312E-3</v>
      </c>
      <c r="AB58" s="174">
        <f>Master_Data[[#This Row],[Imp. Level]]/SUMIF(Master_Data[Subject],Master_Data[[#This Row],[Subject]],Master_Data[Imp. Level])</f>
        <v>4.1666666666666664E-2</v>
      </c>
      <c r="AC58" s="157">
        <f>Master_Data[[#This Row],[Subjectwise weights]]*Master_Data[[#This Row],[Confidence Level]]</f>
        <v>8.3333333333333329E-2</v>
      </c>
      <c r="AD58" s="274" t="str">
        <f>Master_Data[[#This Row],[Prac. Book]]</f>
        <v>U</v>
      </c>
      <c r="AE58" s="274" t="str">
        <f>Master_Data[[#This Row],[GARP EOC Ques.]]</f>
        <v>U</v>
      </c>
    </row>
    <row r="59" spans="2:31" ht="27" customHeight="1" x14ac:dyDescent="0.3">
      <c r="B59" s="3">
        <v>51</v>
      </c>
      <c r="C59" s="182" t="str">
        <f ca="1">IF(Master_Data[[#This Row],[Column1]]=0,"",IF(Master_Data[[#This Row],[Column1]]=1,"Current Week",CONCATENATE("Week ",Master_Data[[#This Row],[Column1]])))</f>
        <v>Week 16</v>
      </c>
      <c r="D59" s="3">
        <f ca="1">ROUNDUP(Master_Data[[#This Row],[Column2]]/Working!$C$8,0)</f>
        <v>16</v>
      </c>
      <c r="E59" s="15">
        <f>SUM($F$9:F59)</f>
        <v>4.4827662037037044</v>
      </c>
      <c r="F59" s="27">
        <f>IF(Master_Data[[#This Row],[Lectures]]="D","",Master_Data[[#This Row],[Duration (hh:mm)]])</f>
        <v>6.9016203703703705E-2</v>
      </c>
      <c r="G59" s="2" t="s">
        <v>185</v>
      </c>
      <c r="H59" s="2">
        <v>45</v>
      </c>
      <c r="I59" s="2" t="s">
        <v>96</v>
      </c>
      <c r="J59" s="271" t="s">
        <v>222</v>
      </c>
      <c r="K59" s="16">
        <v>4</v>
      </c>
      <c r="L59" s="44">
        <v>2</v>
      </c>
      <c r="M59" s="44">
        <v>1</v>
      </c>
      <c r="N59" s="44">
        <v>2</v>
      </c>
      <c r="O59" s="44">
        <v>2</v>
      </c>
      <c r="P59" s="44">
        <v>3</v>
      </c>
      <c r="Q59" s="44">
        <v>3</v>
      </c>
      <c r="R59" s="13">
        <v>6.9016203703703705E-2</v>
      </c>
      <c r="S59" s="43">
        <f>(SUM($R$9:R59)/$R$4)*100</f>
        <v>52.452451503512975</v>
      </c>
      <c r="T59" s="28" t="s">
        <v>6</v>
      </c>
      <c r="U59" s="28" t="s">
        <v>6</v>
      </c>
      <c r="V59" s="28" t="s">
        <v>6</v>
      </c>
      <c r="W59" s="28" t="s">
        <v>6</v>
      </c>
      <c r="X59" s="28" t="s">
        <v>6</v>
      </c>
      <c r="Y59" s="158">
        <v>2</v>
      </c>
      <c r="Z59" s="17"/>
      <c r="AA59" s="173">
        <f>P59/SUM($P$9:$P$70)</f>
        <v>1.3100436681222707E-2</v>
      </c>
      <c r="AB59" s="174">
        <f>Master_Data[[#This Row],[Imp. Level]]/SUMIF(Master_Data[Subject],Master_Data[[#This Row],[Subject]],Master_Data[Imp. Level])</f>
        <v>4.1666666666666664E-2</v>
      </c>
      <c r="AC59" s="157">
        <f>Master_Data[[#This Row],[Subjectwise weights]]*Master_Data[[#This Row],[Confidence Level]]</f>
        <v>8.3333333333333329E-2</v>
      </c>
      <c r="AD59" s="274" t="str">
        <f>Master_Data[[#This Row],[Prac. Book]]</f>
        <v>U</v>
      </c>
      <c r="AE59" s="274" t="str">
        <f>Master_Data[[#This Row],[GARP EOC Ques.]]</f>
        <v>U</v>
      </c>
    </row>
    <row r="60" spans="2:31" ht="27" customHeight="1" x14ac:dyDescent="0.3">
      <c r="B60" s="3">
        <v>52</v>
      </c>
      <c r="C60" s="182" t="str">
        <f ca="1">IF(Master_Data[[#This Row],[Column1]]=0,"",IF(Master_Data[[#This Row],[Column1]]=1,"Current Week",CONCATENATE("Week ",Master_Data[[#This Row],[Column1]])))</f>
        <v>Week 17</v>
      </c>
      <c r="D60" s="3">
        <f ca="1">ROUNDUP(Master_Data[[#This Row],[Column2]]/Working!$C$8,0)</f>
        <v>17</v>
      </c>
      <c r="E60" s="15">
        <f>SUM($F$9:F60)</f>
        <v>4.538819444444445</v>
      </c>
      <c r="F60" s="27">
        <f>IF(Master_Data[[#This Row],[Lectures]]="D","",Master_Data[[#This Row],[Duration (hh:mm)]])</f>
        <v>5.6053240740740744E-2</v>
      </c>
      <c r="G60" s="2" t="s">
        <v>185</v>
      </c>
      <c r="H60" s="2">
        <v>46</v>
      </c>
      <c r="I60" s="2" t="s">
        <v>96</v>
      </c>
      <c r="J60" s="45" t="s">
        <v>223</v>
      </c>
      <c r="K60" s="16">
        <v>4</v>
      </c>
      <c r="L60" s="44">
        <v>2</v>
      </c>
      <c r="M60" s="44">
        <v>1</v>
      </c>
      <c r="N60" s="44">
        <v>2</v>
      </c>
      <c r="O60" s="44">
        <v>2</v>
      </c>
      <c r="P60" s="44">
        <v>3</v>
      </c>
      <c r="Q60" s="44">
        <v>2</v>
      </c>
      <c r="R60" s="13">
        <v>5.6053240740740744E-2</v>
      </c>
      <c r="S60" s="43">
        <f>(SUM($R$9:R60)/$R$4)*100</f>
        <v>53.108325523697054</v>
      </c>
      <c r="T60" s="28" t="s">
        <v>6</v>
      </c>
      <c r="U60" s="28" t="s">
        <v>6</v>
      </c>
      <c r="V60" s="28" t="s">
        <v>6</v>
      </c>
      <c r="W60" s="28" t="s">
        <v>6</v>
      </c>
      <c r="X60" s="28" t="s">
        <v>6</v>
      </c>
      <c r="Y60" s="158">
        <v>3</v>
      </c>
      <c r="Z60" s="17"/>
      <c r="AA60" s="173">
        <f>P60/SUM($P$9:$P$70)</f>
        <v>1.3100436681222707E-2</v>
      </c>
      <c r="AB60" s="174">
        <f>Master_Data[[#This Row],[Imp. Level]]/SUMIF(Master_Data[Subject],Master_Data[[#This Row],[Subject]],Master_Data[Imp. Level])</f>
        <v>4.1666666666666664E-2</v>
      </c>
      <c r="AC60" s="157">
        <f>Master_Data[[#This Row],[Subjectwise weights]]*Master_Data[[#This Row],[Confidence Level]]</f>
        <v>0.125</v>
      </c>
      <c r="AD60" s="274" t="str">
        <f>Master_Data[[#This Row],[Prac. Book]]</f>
        <v>U</v>
      </c>
      <c r="AE60" s="274" t="str">
        <f>Master_Data[[#This Row],[GARP EOC Ques.]]</f>
        <v>U</v>
      </c>
    </row>
    <row r="61" spans="2:31" ht="27" customHeight="1" x14ac:dyDescent="0.3">
      <c r="B61" s="3">
        <v>53</v>
      </c>
      <c r="C61" s="182" t="str">
        <f ca="1">IF(Master_Data[[#This Row],[Column1]]=0,"",IF(Master_Data[[#This Row],[Column1]]=1,"Current Week",CONCATENATE("Week ",Master_Data[[#This Row],[Column1]])))</f>
        <v>Week 17</v>
      </c>
      <c r="D61" s="3">
        <f ca="1">ROUNDUP(Master_Data[[#This Row],[Column2]]/Working!$C$8,0)</f>
        <v>17</v>
      </c>
      <c r="E61" s="15">
        <f>SUM($F$9:F61)</f>
        <v>4.663819444444445</v>
      </c>
      <c r="F61" s="27">
        <f>IF(Master_Data[[#This Row],[Lectures]]="D","",Master_Data[[#This Row],[Duration (hh:mm)]])</f>
        <v>0.125</v>
      </c>
      <c r="G61" s="2" t="s">
        <v>174</v>
      </c>
      <c r="H61" s="2">
        <v>22</v>
      </c>
      <c r="I61" s="2" t="s">
        <v>97</v>
      </c>
      <c r="J61" s="45" t="s">
        <v>247</v>
      </c>
      <c r="K61" s="16">
        <v>4</v>
      </c>
      <c r="L61" s="44">
        <v>2</v>
      </c>
      <c r="M61" s="44">
        <v>1</v>
      </c>
      <c r="N61" s="44">
        <v>3</v>
      </c>
      <c r="O61" s="44">
        <v>3</v>
      </c>
      <c r="P61" s="44">
        <v>3</v>
      </c>
      <c r="Q61" s="44">
        <v>3</v>
      </c>
      <c r="R61" s="13">
        <v>0.125</v>
      </c>
      <c r="S61" s="43">
        <f>(SUM($R$9:R61)/$R$4)*100</f>
        <v>54.570939485701587</v>
      </c>
      <c r="T61" s="28" t="s">
        <v>6</v>
      </c>
      <c r="U61" s="28" t="s">
        <v>6</v>
      </c>
      <c r="V61" s="28" t="s">
        <v>6</v>
      </c>
      <c r="W61" s="28" t="s">
        <v>6</v>
      </c>
      <c r="X61" s="28" t="s">
        <v>6</v>
      </c>
      <c r="Y61" s="158">
        <v>3</v>
      </c>
      <c r="Z61" s="17"/>
      <c r="AA61" s="173">
        <f>P61/SUM($P$9:$P$70)</f>
        <v>1.3100436681222707E-2</v>
      </c>
      <c r="AB61" s="174">
        <f>Master_Data[[#This Row],[Imp. Level]]/SUMIF(Master_Data[Subject],Master_Data[[#This Row],[Subject]],Master_Data[Imp. Level])</f>
        <v>3.3707865168539325E-2</v>
      </c>
      <c r="AC61" s="157">
        <f>Master_Data[[#This Row],[Subjectwise weights]]*Master_Data[[#This Row],[Confidence Level]]</f>
        <v>0.10112359550561797</v>
      </c>
      <c r="AD61" s="274" t="str">
        <f>Master_Data[[#This Row],[Prac. Book]]</f>
        <v>U</v>
      </c>
      <c r="AE61" s="274" t="str">
        <f>Master_Data[[#This Row],[GARP EOC Ques.]]</f>
        <v>U</v>
      </c>
    </row>
    <row r="62" spans="2:31" ht="27" customHeight="1" x14ac:dyDescent="0.3">
      <c r="B62" s="3">
        <v>54</v>
      </c>
      <c r="C62" s="182" t="str">
        <f ca="1">IF(Master_Data[[#This Row],[Column1]]=0,"",IF(Master_Data[[#This Row],[Column1]]=1,"Current Week",CONCATENATE("Week ",Master_Data[[#This Row],[Column1]])))</f>
        <v>Week 17</v>
      </c>
      <c r="D62" s="3">
        <f ca="1">ROUNDUP(Master_Data[[#This Row],[Column2]]/Working!$C$8,0)</f>
        <v>17</v>
      </c>
      <c r="E62" s="15">
        <f>SUM($F$9:F62)</f>
        <v>4.7175000000000002</v>
      </c>
      <c r="F62" s="27">
        <f>IF(Master_Data[[#This Row],[Lectures]]="D","",Master_Data[[#This Row],[Duration (hh:mm)]])</f>
        <v>5.3680555555555558E-2</v>
      </c>
      <c r="G62" s="2" t="s">
        <v>174</v>
      </c>
      <c r="H62" s="2">
        <v>23</v>
      </c>
      <c r="I62" s="2" t="s">
        <v>96</v>
      </c>
      <c r="J62" s="45" t="s">
        <v>182</v>
      </c>
      <c r="K62" s="16">
        <v>8</v>
      </c>
      <c r="L62" s="44">
        <v>2</v>
      </c>
      <c r="M62" s="44">
        <v>1</v>
      </c>
      <c r="N62" s="44">
        <v>3</v>
      </c>
      <c r="O62" s="44">
        <v>3</v>
      </c>
      <c r="P62" s="44">
        <v>3</v>
      </c>
      <c r="Q62" s="44">
        <v>3</v>
      </c>
      <c r="R62" s="13">
        <v>5.3680555555555558E-2</v>
      </c>
      <c r="S62" s="43">
        <f>(SUM($R$9:R62)/$R$4)*100</f>
        <v>55.199050926051306</v>
      </c>
      <c r="T62" s="28" t="s">
        <v>6</v>
      </c>
      <c r="U62" s="28" t="s">
        <v>6</v>
      </c>
      <c r="V62" s="28" t="s">
        <v>6</v>
      </c>
      <c r="W62" s="28" t="s">
        <v>6</v>
      </c>
      <c r="X62" s="28" t="s">
        <v>6</v>
      </c>
      <c r="Y62" s="158">
        <v>3</v>
      </c>
      <c r="Z62" s="17"/>
      <c r="AA62" s="173">
        <f>P62/SUM($P$9:$P$70)</f>
        <v>1.3100436681222707E-2</v>
      </c>
      <c r="AB62" s="174">
        <f>Master_Data[[#This Row],[Imp. Level]]/SUMIF(Master_Data[Subject],Master_Data[[#This Row],[Subject]],Master_Data[Imp. Level])</f>
        <v>3.3707865168539325E-2</v>
      </c>
      <c r="AC62" s="157">
        <f>Master_Data[[#This Row],[Subjectwise weights]]*Master_Data[[#This Row],[Confidence Level]]</f>
        <v>0.10112359550561797</v>
      </c>
      <c r="AD62" s="274" t="str">
        <f>Master_Data[[#This Row],[Prac. Book]]</f>
        <v>U</v>
      </c>
      <c r="AE62" s="274" t="str">
        <f>Master_Data[[#This Row],[GARP EOC Ques.]]</f>
        <v>U</v>
      </c>
    </row>
    <row r="63" spans="2:31" ht="27" customHeight="1" x14ac:dyDescent="0.3">
      <c r="B63" s="3">
        <v>55</v>
      </c>
      <c r="C63" s="182" t="str">
        <f ca="1">IF(Master_Data[[#This Row],[Column1]]=0,"",IF(Master_Data[[#This Row],[Column1]]=1,"Current Week",CONCATENATE("Week ",Master_Data[[#This Row],[Column1]])))</f>
        <v>Week 18</v>
      </c>
      <c r="D63" s="3">
        <f ca="1">ROUNDUP(Master_Data[[#This Row],[Column2]]/Working!$C$8,0)</f>
        <v>18</v>
      </c>
      <c r="E63" s="15">
        <f>SUM($F$9:F63)</f>
        <v>4.8425000000000002</v>
      </c>
      <c r="F63" s="27">
        <f>IF(Master_Data[[#This Row],[Lectures]]="D","",Master_Data[[#This Row],[Duration (hh:mm)]])</f>
        <v>0.125</v>
      </c>
      <c r="G63" s="2" t="s">
        <v>174</v>
      </c>
      <c r="H63" s="2">
        <v>21</v>
      </c>
      <c r="I63" s="2" t="s">
        <v>95</v>
      </c>
      <c r="J63" s="45" t="s">
        <v>248</v>
      </c>
      <c r="K63" s="16">
        <v>7</v>
      </c>
      <c r="L63" s="44">
        <v>2</v>
      </c>
      <c r="M63" s="44">
        <v>1</v>
      </c>
      <c r="N63" s="44">
        <v>3</v>
      </c>
      <c r="O63" s="44">
        <v>3</v>
      </c>
      <c r="P63" s="44">
        <v>3</v>
      </c>
      <c r="Q63" s="44">
        <v>3</v>
      </c>
      <c r="R63" s="11">
        <v>0.125</v>
      </c>
      <c r="S63" s="43">
        <f>(SUM($R$9:R63)/$R$4)*100</f>
        <v>56.661664888055853</v>
      </c>
      <c r="T63" s="28" t="s">
        <v>6</v>
      </c>
      <c r="U63" s="28" t="s">
        <v>6</v>
      </c>
      <c r="V63" s="28" t="s">
        <v>6</v>
      </c>
      <c r="W63" s="28" t="s">
        <v>6</v>
      </c>
      <c r="X63" s="28" t="s">
        <v>6</v>
      </c>
      <c r="Y63" s="158">
        <v>2</v>
      </c>
      <c r="Z63" s="17"/>
      <c r="AA63" s="173">
        <f>P63/SUM($P$9:$P$70)</f>
        <v>1.3100436681222707E-2</v>
      </c>
      <c r="AB63" s="174">
        <f>Master_Data[[#This Row],[Imp. Level]]/SUMIF(Master_Data[Subject],Master_Data[[#This Row],[Subject]],Master_Data[Imp. Level])</f>
        <v>3.3707865168539325E-2</v>
      </c>
      <c r="AC63" s="157">
        <f>Master_Data[[#This Row],[Subjectwise weights]]*Master_Data[[#This Row],[Confidence Level]]</f>
        <v>6.741573033707865E-2</v>
      </c>
      <c r="AD63" s="274" t="str">
        <f>Master_Data[[#This Row],[Prac. Book]]</f>
        <v>U</v>
      </c>
      <c r="AE63" s="274" t="str">
        <f>Master_Data[[#This Row],[GARP EOC Ques.]]</f>
        <v>U</v>
      </c>
    </row>
    <row r="64" spans="2:31" ht="27" customHeight="1" x14ac:dyDescent="0.3">
      <c r="B64" s="3">
        <v>56</v>
      </c>
      <c r="C64" s="182" t="str">
        <f ca="1">IF(Master_Data[[#This Row],[Column1]]=0,"",IF(Master_Data[[#This Row],[Column1]]=1,"Current Week",CONCATENATE("Week ",Master_Data[[#This Row],[Column1]])))</f>
        <v>Week 18</v>
      </c>
      <c r="D64" s="3">
        <f ca="1">ROUNDUP(Master_Data[[#This Row],[Column2]]/Working!$C$8,0)</f>
        <v>18</v>
      </c>
      <c r="E64" s="15">
        <f>SUM($F$9:F64)</f>
        <v>4.9231944444444444</v>
      </c>
      <c r="F64" s="27">
        <f>IF(Master_Data[[#This Row],[Lectures]]="D","",Master_Data[[#This Row],[Duration (hh:mm)]])</f>
        <v>8.0694444444444444E-2</v>
      </c>
      <c r="G64" s="2" t="s">
        <v>174</v>
      </c>
      <c r="H64" s="2">
        <v>27</v>
      </c>
      <c r="I64" s="2" t="s">
        <v>95</v>
      </c>
      <c r="J64" s="45" t="s">
        <v>183</v>
      </c>
      <c r="K64" s="16">
        <v>8</v>
      </c>
      <c r="L64" s="44">
        <v>2</v>
      </c>
      <c r="M64" s="44">
        <v>3</v>
      </c>
      <c r="N64" s="44">
        <v>4</v>
      </c>
      <c r="O64" s="44">
        <v>4</v>
      </c>
      <c r="P64" s="44">
        <v>3</v>
      </c>
      <c r="Q64" s="44">
        <v>3</v>
      </c>
      <c r="R64" s="11">
        <v>8.0694444444444444E-2</v>
      </c>
      <c r="S64" s="43">
        <f>(SUM($R$9:R64)/$R$4)*100</f>
        <v>57.605863456860995</v>
      </c>
      <c r="T64" s="28" t="s">
        <v>6</v>
      </c>
      <c r="U64" s="28" t="s">
        <v>6</v>
      </c>
      <c r="V64" s="28" t="s">
        <v>6</v>
      </c>
      <c r="W64" s="28" t="s">
        <v>6</v>
      </c>
      <c r="X64" s="28" t="s">
        <v>6</v>
      </c>
      <c r="Y64" s="158">
        <v>2</v>
      </c>
      <c r="Z64" s="17"/>
      <c r="AA64" s="173">
        <f>P64/SUM($P$9:$P$70)</f>
        <v>1.3100436681222707E-2</v>
      </c>
      <c r="AB64" s="174">
        <f>Master_Data[[#This Row],[Imp. Level]]/SUMIF(Master_Data[Subject],Master_Data[[#This Row],[Subject]],Master_Data[Imp. Level])</f>
        <v>3.3707865168539325E-2</v>
      </c>
      <c r="AC64" s="157">
        <f>Master_Data[[#This Row],[Subjectwise weights]]*Master_Data[[#This Row],[Confidence Level]]</f>
        <v>6.741573033707865E-2</v>
      </c>
      <c r="AD64" s="274" t="str">
        <f>Master_Data[[#This Row],[Prac. Book]]</f>
        <v>U</v>
      </c>
      <c r="AE64" s="274" t="str">
        <f>Master_Data[[#This Row],[GARP EOC Ques.]]</f>
        <v>U</v>
      </c>
    </row>
    <row r="65" spans="2:31" ht="27" customHeight="1" x14ac:dyDescent="0.3">
      <c r="B65" s="3">
        <v>57</v>
      </c>
      <c r="C65" s="182" t="str">
        <f ca="1">IF(Master_Data[[#This Row],[Column1]]=0,"",IF(Master_Data[[#This Row],[Column1]]=1,"Current Week",CONCATENATE("Week ",Master_Data[[#This Row],[Column1]])))</f>
        <v>Week 18</v>
      </c>
      <c r="D65" s="3">
        <f ca="1">ROUNDUP(Master_Data[[#This Row],[Column2]]/Working!$C$8,0)</f>
        <v>18</v>
      </c>
      <c r="E65" s="15">
        <f>SUM($F$9:F65)</f>
        <v>5.1006712962962961</v>
      </c>
      <c r="F65" s="27">
        <f>IF(Master_Data[[#This Row],[Lectures]]="D","",Master_Data[[#This Row],[Duration (hh:mm)]])</f>
        <v>0.17747685185185183</v>
      </c>
      <c r="G65" s="2" t="s">
        <v>174</v>
      </c>
      <c r="H65" s="2">
        <v>28</v>
      </c>
      <c r="I65" s="2" t="s">
        <v>95</v>
      </c>
      <c r="J65" s="45" t="s">
        <v>184</v>
      </c>
      <c r="K65" s="16">
        <v>13</v>
      </c>
      <c r="L65" s="44">
        <v>4</v>
      </c>
      <c r="M65" s="44">
        <v>2</v>
      </c>
      <c r="N65" s="44">
        <v>4</v>
      </c>
      <c r="O65" s="44">
        <v>4</v>
      </c>
      <c r="P65" s="44">
        <v>4</v>
      </c>
      <c r="Q65" s="44">
        <v>3</v>
      </c>
      <c r="R65" s="12">
        <v>0.17747685185185183</v>
      </c>
      <c r="S65" s="43">
        <f>(SUM($R$9:R65)/$R$4)*100</f>
        <v>59.68250442847004</v>
      </c>
      <c r="T65" s="28" t="s">
        <v>6</v>
      </c>
      <c r="U65" s="28" t="s">
        <v>6</v>
      </c>
      <c r="V65" s="28" t="s">
        <v>6</v>
      </c>
      <c r="W65" s="28" t="s">
        <v>6</v>
      </c>
      <c r="X65" s="28" t="s">
        <v>6</v>
      </c>
      <c r="Y65" s="158">
        <v>3</v>
      </c>
      <c r="Z65" s="17"/>
      <c r="AA65" s="173">
        <f>P65/SUM($P$9:$P$70)</f>
        <v>1.7467248908296942E-2</v>
      </c>
      <c r="AB65" s="174">
        <f>Master_Data[[#This Row],[Imp. Level]]/SUMIF(Master_Data[Subject],Master_Data[[#This Row],[Subject]],Master_Data[Imp. Level])</f>
        <v>4.49438202247191E-2</v>
      </c>
      <c r="AC65" s="157">
        <f>Master_Data[[#This Row],[Subjectwise weights]]*Master_Data[[#This Row],[Confidence Level]]</f>
        <v>0.1348314606741573</v>
      </c>
      <c r="AD65" s="274" t="str">
        <f>Master_Data[[#This Row],[Prac. Book]]</f>
        <v>U</v>
      </c>
      <c r="AE65" s="274" t="str">
        <f>Master_Data[[#This Row],[GARP EOC Ques.]]</f>
        <v>U</v>
      </c>
    </row>
    <row r="66" spans="2:31" ht="26.25" customHeight="1" x14ac:dyDescent="0.3">
      <c r="B66" s="3">
        <v>58</v>
      </c>
      <c r="C66" s="182" t="str">
        <f ca="1">IF(Master_Data[[#This Row],[Column1]]=0,"",IF(Master_Data[[#This Row],[Column1]]=1,"Current Week",CONCATENATE("Week ",Master_Data[[#This Row],[Column1]])))</f>
        <v>Week 19</v>
      </c>
      <c r="D66" s="3">
        <f ca="1">ROUNDUP(Master_Data[[#This Row],[Column2]]/Working!$C$8,0)</f>
        <v>19</v>
      </c>
      <c r="E66" s="151">
        <f>SUM($F$9:F66)</f>
        <v>5.2256712962962961</v>
      </c>
      <c r="F66" s="27">
        <f>IF(Master_Data[[#This Row],[Lectures]]="D","",Master_Data[[#This Row],[Duration (hh:mm)]])</f>
        <v>0.125</v>
      </c>
      <c r="G66" s="2" t="s">
        <v>174</v>
      </c>
      <c r="H66" s="2">
        <v>24</v>
      </c>
      <c r="I66" s="2" t="s">
        <v>97</v>
      </c>
      <c r="J66" s="45" t="s">
        <v>249</v>
      </c>
      <c r="K66" s="16">
        <v>7</v>
      </c>
      <c r="L66" s="44">
        <v>3</v>
      </c>
      <c r="M66" s="44">
        <v>2</v>
      </c>
      <c r="N66" s="44">
        <v>3</v>
      </c>
      <c r="O66" s="44">
        <v>4</v>
      </c>
      <c r="P66" s="44">
        <v>4</v>
      </c>
      <c r="Q66" s="44">
        <v>3</v>
      </c>
      <c r="R66" s="11">
        <v>0.125</v>
      </c>
      <c r="S66" s="43">
        <f>(SUM($R$9:R66)/$R$4)*100</f>
        <v>61.145118390474572</v>
      </c>
      <c r="T66" s="28" t="s">
        <v>6</v>
      </c>
      <c r="U66" s="28" t="s">
        <v>6</v>
      </c>
      <c r="V66" s="28" t="s">
        <v>6</v>
      </c>
      <c r="W66" s="28" t="s">
        <v>6</v>
      </c>
      <c r="X66" s="28" t="s">
        <v>6</v>
      </c>
      <c r="Y66" s="158">
        <v>3</v>
      </c>
      <c r="Z66" s="19"/>
      <c r="AA66" s="173">
        <f>P66/SUM($P$9:$P$111)</f>
        <v>1.1235955056179775E-2</v>
      </c>
      <c r="AB66" s="174">
        <f>Master_Data[[#This Row],[Imp. Level]]/SUMIF(Master_Data[Subject],Master_Data[[#This Row],[Subject]],Master_Data[Imp. Level])</f>
        <v>4.49438202247191E-2</v>
      </c>
      <c r="AC66" s="157">
        <f>Master_Data[[#This Row],[Subjectwise weights]]*Master_Data[[#This Row],[Confidence Level]]</f>
        <v>0.1348314606741573</v>
      </c>
      <c r="AD66" s="274" t="str">
        <f>Master_Data[[#This Row],[Prac. Book]]</f>
        <v>U</v>
      </c>
      <c r="AE66" s="274" t="str">
        <f>Master_Data[[#This Row],[GARP EOC Ques.]]</f>
        <v>U</v>
      </c>
    </row>
    <row r="67" spans="2:31" ht="26.25" customHeight="1" x14ac:dyDescent="0.3">
      <c r="B67" s="3">
        <v>59</v>
      </c>
      <c r="C67" s="182" t="str">
        <f ca="1">IF(Master_Data[[#This Row],[Column1]]=0,"",IF(Master_Data[[#This Row],[Column1]]=1,"Current Week",CONCATENATE("Week ",Master_Data[[#This Row],[Column1]])))</f>
        <v>Week 19</v>
      </c>
      <c r="D67" s="3">
        <f ca="1">ROUNDUP(Master_Data[[#This Row],[Column2]]/Working!$C$8,0)</f>
        <v>19</v>
      </c>
      <c r="E67" s="15">
        <f>SUM($F$9:F67)</f>
        <v>5.3506712962962961</v>
      </c>
      <c r="F67" s="27">
        <f>IF(Master_Data[[#This Row],[Lectures]]="D","",Master_Data[[#This Row],[Duration (hh:mm)]])</f>
        <v>0.125</v>
      </c>
      <c r="G67" s="2" t="s">
        <v>174</v>
      </c>
      <c r="H67" s="2">
        <v>35</v>
      </c>
      <c r="I67" s="2" t="s">
        <v>97</v>
      </c>
      <c r="J67" s="45" t="s">
        <v>250</v>
      </c>
      <c r="K67" s="16">
        <v>10</v>
      </c>
      <c r="L67" s="44">
        <v>3</v>
      </c>
      <c r="M67" s="44">
        <v>2</v>
      </c>
      <c r="N67" s="44">
        <v>3</v>
      </c>
      <c r="O67" s="44">
        <v>4</v>
      </c>
      <c r="P67" s="44">
        <v>4</v>
      </c>
      <c r="Q67" s="44">
        <v>3</v>
      </c>
      <c r="R67" s="178">
        <v>0.125</v>
      </c>
      <c r="S67" s="43">
        <f>(SUM($R$9:R67)/$R$4)*100</f>
        <v>62.607732352479118</v>
      </c>
      <c r="T67" s="28" t="s">
        <v>6</v>
      </c>
      <c r="U67" s="28" t="s">
        <v>6</v>
      </c>
      <c r="V67" s="28" t="s">
        <v>6</v>
      </c>
      <c r="W67" s="28" t="s">
        <v>6</v>
      </c>
      <c r="X67" s="28" t="s">
        <v>6</v>
      </c>
      <c r="Y67" s="158">
        <v>3</v>
      </c>
      <c r="Z67" s="17"/>
      <c r="AA67" s="173">
        <f>P67/SUM($P$9:$P$70)</f>
        <v>1.7467248908296942E-2</v>
      </c>
      <c r="AB67" s="174">
        <f>Master_Data[[#This Row],[Imp. Level]]/SUMIF(Master_Data[Subject],Master_Data[[#This Row],[Subject]],Master_Data[Imp. Level])</f>
        <v>4.49438202247191E-2</v>
      </c>
      <c r="AC67" s="157">
        <f>Master_Data[[#This Row],[Subjectwise weights]]*Master_Data[[#This Row],[Confidence Level]]</f>
        <v>0.1348314606741573</v>
      </c>
      <c r="AD67" s="274" t="str">
        <f>Master_Data[[#This Row],[Prac. Book]]</f>
        <v>U</v>
      </c>
      <c r="AE67" s="274" t="str">
        <f>Master_Data[[#This Row],[GARP EOC Ques.]]</f>
        <v>U</v>
      </c>
    </row>
    <row r="68" spans="2:31" ht="26.5" customHeight="1" x14ac:dyDescent="0.3">
      <c r="B68" s="3">
        <v>60</v>
      </c>
      <c r="C68" s="182" t="str">
        <f ca="1">IF(Master_Data[[#This Row],[Column1]]=0,"",IF(Master_Data[[#This Row],[Column1]]=1,"Current Week",CONCATENATE("Week ",Master_Data[[#This Row],[Column1]])))</f>
        <v>Week 20</v>
      </c>
      <c r="D68" s="3">
        <f ca="1">ROUNDUP(Master_Data[[#This Row],[Column2]]/Working!$C$8,0)</f>
        <v>20</v>
      </c>
      <c r="E68" s="15">
        <f>SUM($F$9:F68)</f>
        <v>5.4830671296296298</v>
      </c>
      <c r="F68" s="27">
        <f>IF(Master_Data[[#This Row],[Lectures]]="D","",Master_Data[[#This Row],[Duration (hh:mm)]])</f>
        <v>0.13239583333333335</v>
      </c>
      <c r="G68" s="2" t="s">
        <v>185</v>
      </c>
      <c r="H68" s="2">
        <v>60</v>
      </c>
      <c r="I68" s="2" t="s">
        <v>96</v>
      </c>
      <c r="J68" s="45" t="s">
        <v>189</v>
      </c>
      <c r="K68" s="22">
        <v>8</v>
      </c>
      <c r="L68" s="44">
        <v>4</v>
      </c>
      <c r="M68" s="44">
        <v>2</v>
      </c>
      <c r="N68" s="44">
        <v>3</v>
      </c>
      <c r="O68" s="44">
        <v>3</v>
      </c>
      <c r="P68" s="44">
        <v>4</v>
      </c>
      <c r="Q68" s="44">
        <v>4</v>
      </c>
      <c r="R68" s="178">
        <v>0.13239583333333335</v>
      </c>
      <c r="S68" s="43">
        <f>(SUM($R$9:R68)/$R$4)*100</f>
        <v>64.1568843072356</v>
      </c>
      <c r="T68" s="28" t="s">
        <v>6</v>
      </c>
      <c r="U68" s="28" t="s">
        <v>6</v>
      </c>
      <c r="V68" s="28" t="s">
        <v>6</v>
      </c>
      <c r="W68" s="28" t="s">
        <v>6</v>
      </c>
      <c r="X68" s="28" t="s">
        <v>6</v>
      </c>
      <c r="Y68" s="158">
        <v>2</v>
      </c>
      <c r="Z68" s="17"/>
      <c r="AA68" s="173">
        <f>P68/SUM($P$9:$P$70)</f>
        <v>1.7467248908296942E-2</v>
      </c>
      <c r="AB68" s="174">
        <f>Master_Data[[#This Row],[Imp. Level]]/SUMIF(Master_Data[Subject],Master_Data[[#This Row],[Subject]],Master_Data[Imp. Level])</f>
        <v>5.5555555555555552E-2</v>
      </c>
      <c r="AC68" s="157">
        <f>Master_Data[[#This Row],[Subjectwise weights]]*Master_Data[[#This Row],[Confidence Level]]</f>
        <v>0.1111111111111111</v>
      </c>
      <c r="AD68" s="274" t="str">
        <f>Master_Data[[#This Row],[Prac. Book]]</f>
        <v>U</v>
      </c>
      <c r="AE68" s="274" t="str">
        <f>Master_Data[[#This Row],[GARP EOC Ques.]]</f>
        <v>U</v>
      </c>
    </row>
    <row r="69" spans="2:31" ht="26.5" customHeight="1" x14ac:dyDescent="0.3">
      <c r="B69" s="3">
        <v>61</v>
      </c>
      <c r="C69" s="182" t="str">
        <f ca="1">IF(Master_Data[[#This Row],[Column1]]=0,"",IF(Master_Data[[#This Row],[Column1]]=1,"Current Week",CONCATENATE("Week ",Master_Data[[#This Row],[Column1]])))</f>
        <v>Week 20</v>
      </c>
      <c r="D69" s="3">
        <f ca="1">ROUNDUP(Master_Data[[#This Row],[Column2]]/Working!$C$8,0)</f>
        <v>20</v>
      </c>
      <c r="E69" s="15">
        <f>SUM($F$9:F69)</f>
        <v>5.5738773148148146</v>
      </c>
      <c r="F69" s="27">
        <f>IF(Master_Data[[#This Row],[Lectures]]="D","",Master_Data[[#This Row],[Duration (hh:mm)]])</f>
        <v>9.0810185185185188E-2</v>
      </c>
      <c r="G69" s="2" t="s">
        <v>185</v>
      </c>
      <c r="H69" s="2">
        <v>57</v>
      </c>
      <c r="I69" s="2" t="s">
        <v>96</v>
      </c>
      <c r="J69" s="45" t="s">
        <v>190</v>
      </c>
      <c r="K69" s="177">
        <v>8</v>
      </c>
      <c r="L69" s="152">
        <v>3</v>
      </c>
      <c r="M69" s="153">
        <v>2</v>
      </c>
      <c r="N69" s="153">
        <v>3</v>
      </c>
      <c r="O69" s="153">
        <v>3</v>
      </c>
      <c r="P69" s="153">
        <v>5</v>
      </c>
      <c r="Q69" s="154">
        <v>4</v>
      </c>
      <c r="R69" s="23">
        <v>9.0810185185185188E-2</v>
      </c>
      <c r="S69" s="43">
        <f>(SUM($R$9:R69)/$R$4)*100</f>
        <v>65.219446265188139</v>
      </c>
      <c r="T69" s="28" t="s">
        <v>6</v>
      </c>
      <c r="U69" s="28" t="s">
        <v>6</v>
      </c>
      <c r="V69" s="28" t="s">
        <v>6</v>
      </c>
      <c r="W69" s="28" t="s">
        <v>6</v>
      </c>
      <c r="X69" s="28" t="s">
        <v>6</v>
      </c>
      <c r="Y69" s="158">
        <v>3</v>
      </c>
      <c r="Z69" s="17"/>
      <c r="AA69" s="173">
        <f>P69/SUM($P$9:$P$70)</f>
        <v>2.1834061135371178E-2</v>
      </c>
      <c r="AB69" s="174">
        <f>Master_Data[[#This Row],[Imp. Level]]/SUMIF(Master_Data[Subject],Master_Data[[#This Row],[Subject]],Master_Data[Imp. Level])</f>
        <v>6.9444444444444448E-2</v>
      </c>
      <c r="AC69" s="157">
        <f>Master_Data[[#This Row],[Subjectwise weights]]*Master_Data[[#This Row],[Confidence Level]]</f>
        <v>0.20833333333333334</v>
      </c>
      <c r="AD69" s="274" t="str">
        <f>Master_Data[[#This Row],[Prac. Book]]</f>
        <v>U</v>
      </c>
      <c r="AE69" s="274" t="str">
        <f>Master_Data[[#This Row],[GARP EOC Ques.]]</f>
        <v>U</v>
      </c>
    </row>
    <row r="70" spans="2:31" ht="27" customHeight="1" x14ac:dyDescent="0.3">
      <c r="B70" s="3">
        <v>62</v>
      </c>
      <c r="C70" s="182" t="str">
        <f ca="1">IF(Master_Data[[#This Row],[Column1]]=0,"",IF(Master_Data[[#This Row],[Column1]]=1,"Current Week",CONCATENATE("Week ",Master_Data[[#This Row],[Column1]])))</f>
        <v>Week 20</v>
      </c>
      <c r="D70" s="3">
        <f ca="1">ROUNDUP(Master_Data[[#This Row],[Column2]]/Working!$C$8,0)</f>
        <v>20</v>
      </c>
      <c r="E70" s="15">
        <f>SUM($F$9:F70)</f>
        <v>5.6029513888888891</v>
      </c>
      <c r="F70" s="27">
        <f>IF(Master_Data[[#This Row],[Lectures]]="D","",Master_Data[[#This Row],[Duration (hh:mm)]])</f>
        <v>2.9074074074074075E-2</v>
      </c>
      <c r="G70" s="2" t="s">
        <v>185</v>
      </c>
      <c r="H70" s="2">
        <v>51</v>
      </c>
      <c r="I70" s="2" t="s">
        <v>96</v>
      </c>
      <c r="J70" s="45" t="s">
        <v>191</v>
      </c>
      <c r="K70" s="177">
        <v>3</v>
      </c>
      <c r="L70" s="152">
        <v>2</v>
      </c>
      <c r="M70" s="153">
        <v>1</v>
      </c>
      <c r="N70" s="153">
        <v>2</v>
      </c>
      <c r="O70" s="153">
        <v>2</v>
      </c>
      <c r="P70" s="153">
        <v>3</v>
      </c>
      <c r="Q70" s="154">
        <v>3</v>
      </c>
      <c r="R70" s="27">
        <v>2.9074074074074075E-2</v>
      </c>
      <c r="S70" s="43">
        <f>(SUM($R$9:R70)/$R$4)*100</f>
        <v>65.559639438572916</v>
      </c>
      <c r="T70" s="28" t="s">
        <v>6</v>
      </c>
      <c r="U70" s="28" t="s">
        <v>6</v>
      </c>
      <c r="V70" s="28" t="s">
        <v>6</v>
      </c>
      <c r="W70" s="28" t="s">
        <v>6</v>
      </c>
      <c r="X70" s="28" t="s">
        <v>6</v>
      </c>
      <c r="Y70" s="158">
        <v>3</v>
      </c>
      <c r="Z70" s="17"/>
      <c r="AA70" s="173">
        <f>P70/SUM($P$9:$P$70)</f>
        <v>1.3100436681222707E-2</v>
      </c>
      <c r="AB70" s="174">
        <f>Master_Data[[#This Row],[Imp. Level]]/SUMIF(Master_Data[Subject],Master_Data[[#This Row],[Subject]],Master_Data[Imp. Level])</f>
        <v>4.1666666666666664E-2</v>
      </c>
      <c r="AC70" s="157">
        <f>Master_Data[[#This Row],[Subjectwise weights]]*Master_Data[[#This Row],[Confidence Level]]</f>
        <v>0.125</v>
      </c>
      <c r="AD70" s="274" t="str">
        <f>Master_Data[[#This Row],[Prac. Book]]</f>
        <v>U</v>
      </c>
      <c r="AE70" s="274" t="str">
        <f>Master_Data[[#This Row],[GARP EOC Ques.]]</f>
        <v>U</v>
      </c>
    </row>
    <row r="71" spans="2:31" ht="27" customHeight="1" x14ac:dyDescent="0.3">
      <c r="B71" s="3">
        <v>63</v>
      </c>
      <c r="C71" s="182" t="str">
        <f ca="1">IF(Master_Data[[#This Row],[Column1]]=0,"",IF(Master_Data[[#This Row],[Column1]]=1,"Current Week",CONCATENATE("Week ",Master_Data[[#This Row],[Column1]])))</f>
        <v>Week 20</v>
      </c>
      <c r="D71" s="3">
        <f ca="1">ROUNDUP(Master_Data[[#This Row],[Column2]]/Working!$C$8,0)</f>
        <v>20</v>
      </c>
      <c r="E71" s="15">
        <f>SUM($F$9:F71)</f>
        <v>5.6352083333333338</v>
      </c>
      <c r="F71" s="27">
        <f>IF(Master_Data[[#This Row],[Lectures]]="D","",Master_Data[[#This Row],[Duration (hh:mm)]])</f>
        <v>3.2256944444444442E-2</v>
      </c>
      <c r="G71" s="2" t="s">
        <v>185</v>
      </c>
      <c r="H71" s="2">
        <v>52</v>
      </c>
      <c r="I71" s="2" t="s">
        <v>95</v>
      </c>
      <c r="J71" s="45" t="s">
        <v>251</v>
      </c>
      <c r="K71" s="177">
        <v>2</v>
      </c>
      <c r="L71" s="44">
        <v>2</v>
      </c>
      <c r="M71" s="44">
        <v>1</v>
      </c>
      <c r="N71" s="44">
        <v>2</v>
      </c>
      <c r="O71" s="44">
        <v>2</v>
      </c>
      <c r="P71" s="44">
        <v>2</v>
      </c>
      <c r="Q71" s="44">
        <v>2</v>
      </c>
      <c r="R71" s="27">
        <v>3.2256944444444442E-2</v>
      </c>
      <c r="S71" s="43">
        <f>(SUM($R$9:R71)/$R$4)*100</f>
        <v>65.9370750971013</v>
      </c>
      <c r="T71" s="28" t="s">
        <v>6</v>
      </c>
      <c r="U71" s="28" t="s">
        <v>6</v>
      </c>
      <c r="V71" s="28" t="s">
        <v>6</v>
      </c>
      <c r="W71" s="28" t="s">
        <v>6</v>
      </c>
      <c r="X71" s="28" t="s">
        <v>6</v>
      </c>
      <c r="Y71" s="158">
        <v>3</v>
      </c>
      <c r="Z71" s="17"/>
      <c r="AA71" s="173">
        <f>P71/SUM($P$9:$P$70)</f>
        <v>8.7336244541484712E-3</v>
      </c>
      <c r="AB71" s="174">
        <f>Master_Data[[#This Row],[Imp. Level]]/SUMIF(Master_Data[Subject],Master_Data[[#This Row],[Subject]],Master_Data[Imp. Level])</f>
        <v>2.7777777777777776E-2</v>
      </c>
      <c r="AC71" s="157">
        <f>Master_Data[[#This Row],[Subjectwise weights]]*Master_Data[[#This Row],[Confidence Level]]</f>
        <v>8.3333333333333329E-2</v>
      </c>
      <c r="AD71" s="274" t="str">
        <f>Master_Data[[#This Row],[Prac. Book]]</f>
        <v>U</v>
      </c>
      <c r="AE71" s="274" t="str">
        <f>Master_Data[[#This Row],[GARP EOC Ques.]]</f>
        <v>U</v>
      </c>
    </row>
    <row r="72" spans="2:31" ht="27" customHeight="1" x14ac:dyDescent="0.3">
      <c r="B72" s="3">
        <v>64</v>
      </c>
      <c r="C72" s="182" t="str">
        <f ca="1">IF(Master_Data[[#This Row],[Column1]]=0,"",IF(Master_Data[[#This Row],[Column1]]=1,"Current Week",CONCATENATE("Week ",Master_Data[[#This Row],[Column1]])))</f>
        <v>Week 21</v>
      </c>
      <c r="D72" s="3">
        <f ca="1">ROUNDUP(Master_Data[[#This Row],[Column2]]/Working!$C$8,0)</f>
        <v>21</v>
      </c>
      <c r="E72" s="15">
        <f>SUM($F$9:F72)</f>
        <v>5.7449884259259267</v>
      </c>
      <c r="F72" s="27">
        <f>IF(Master_Data[[#This Row],[Lectures]]="D","",Master_Data[[#This Row],[Duration (hh:mm)]])</f>
        <v>0.1097800925925926</v>
      </c>
      <c r="G72" s="2" t="s">
        <v>186</v>
      </c>
      <c r="H72" s="2">
        <v>67</v>
      </c>
      <c r="I72" s="2" t="s">
        <v>96</v>
      </c>
      <c r="J72" s="45" t="s">
        <v>192</v>
      </c>
      <c r="K72" s="177">
        <v>3</v>
      </c>
      <c r="L72" s="152">
        <v>4</v>
      </c>
      <c r="M72" s="153">
        <v>2</v>
      </c>
      <c r="N72" s="153">
        <v>3</v>
      </c>
      <c r="O72" s="153">
        <v>4</v>
      </c>
      <c r="P72" s="153">
        <v>4</v>
      </c>
      <c r="Q72" s="154">
        <v>4</v>
      </c>
      <c r="R72" s="178">
        <v>0.1097800925925926</v>
      </c>
      <c r="S72" s="43">
        <f>(SUM($R$9:R72)/$R$4)*100</f>
        <v>67.221602266509933</v>
      </c>
      <c r="T72" s="28" t="s">
        <v>6</v>
      </c>
      <c r="U72" s="28" t="s">
        <v>6</v>
      </c>
      <c r="V72" s="28" t="s">
        <v>6</v>
      </c>
      <c r="W72" s="28" t="s">
        <v>6</v>
      </c>
      <c r="X72" s="28" t="s">
        <v>6</v>
      </c>
      <c r="Y72" s="158">
        <v>3</v>
      </c>
      <c r="Z72" s="17"/>
      <c r="AA72" s="173">
        <f>P72/SUM($P$9:$P$70)</f>
        <v>1.7467248908296942E-2</v>
      </c>
      <c r="AB72" s="174">
        <f>Master_Data[[#This Row],[Imp. Level]]/SUMIF(Master_Data[Subject],Master_Data[[#This Row],[Subject]],Master_Data[Imp. Level])</f>
        <v>5.9701492537313432E-2</v>
      </c>
      <c r="AC72" s="157">
        <f>Master_Data[[#This Row],[Subjectwise weights]]*Master_Data[[#This Row],[Confidence Level]]</f>
        <v>0.17910447761194029</v>
      </c>
      <c r="AD72" s="274" t="str">
        <f>Master_Data[[#This Row],[Prac. Book]]</f>
        <v>U</v>
      </c>
      <c r="AE72" s="274" t="str">
        <f>Master_Data[[#This Row],[GARP EOC Ques.]]</f>
        <v>U</v>
      </c>
    </row>
    <row r="73" spans="2:31" ht="27" customHeight="1" x14ac:dyDescent="0.3">
      <c r="B73" s="3">
        <v>65</v>
      </c>
      <c r="C73" s="182" t="str">
        <f ca="1">IF(Master_Data[[#This Row],[Column1]]=0,"",IF(Master_Data[[#This Row],[Column1]]=1,"Current Week",CONCATENATE("Week ",Master_Data[[#This Row],[Column1]])))</f>
        <v>Week 21</v>
      </c>
      <c r="D73" s="3">
        <f ca="1">ROUNDUP(Master_Data[[#This Row],[Column2]]/Working!$C$8,0)</f>
        <v>21</v>
      </c>
      <c r="E73" s="15">
        <f>SUM($F$9:F73)</f>
        <v>5.8593518518518524</v>
      </c>
      <c r="F73" s="27">
        <f>IF(Master_Data[[#This Row],[Lectures]]="D","",Master_Data[[#This Row],[Duration (hh:mm)]])</f>
        <v>0.11436342592592592</v>
      </c>
      <c r="G73" s="2" t="s">
        <v>186</v>
      </c>
      <c r="H73" s="2">
        <v>68</v>
      </c>
      <c r="I73" s="2" t="s">
        <v>96</v>
      </c>
      <c r="J73" s="45" t="s">
        <v>252</v>
      </c>
      <c r="K73" s="177">
        <v>5</v>
      </c>
      <c r="L73" s="152">
        <v>4</v>
      </c>
      <c r="M73" s="153">
        <v>2</v>
      </c>
      <c r="N73" s="153">
        <v>4</v>
      </c>
      <c r="O73" s="153">
        <v>4</v>
      </c>
      <c r="P73" s="153">
        <v>3</v>
      </c>
      <c r="Q73" s="154">
        <v>4</v>
      </c>
      <c r="R73" s="178">
        <v>0.11436342592592592</v>
      </c>
      <c r="S73" s="43">
        <f>(SUM($R$9:R73)/$R$4)*100</f>
        <v>68.559758614525364</v>
      </c>
      <c r="T73" s="28" t="s">
        <v>6</v>
      </c>
      <c r="U73" s="28" t="s">
        <v>6</v>
      </c>
      <c r="V73" s="28" t="s">
        <v>6</v>
      </c>
      <c r="W73" s="28" t="s">
        <v>6</v>
      </c>
      <c r="X73" s="28" t="s">
        <v>6</v>
      </c>
      <c r="Y73" s="158">
        <v>3</v>
      </c>
      <c r="Z73" s="17"/>
      <c r="AA73" s="173">
        <f>P73/SUM($P$9:$P$70)</f>
        <v>1.3100436681222707E-2</v>
      </c>
      <c r="AB73" s="174">
        <f>Master_Data[[#This Row],[Imp. Level]]/SUMIF(Master_Data[Subject],Master_Data[[#This Row],[Subject]],Master_Data[Imp. Level])</f>
        <v>4.4776119402985072E-2</v>
      </c>
      <c r="AC73" s="157">
        <f>Master_Data[[#This Row],[Subjectwise weights]]*Master_Data[[#This Row],[Confidence Level]]</f>
        <v>0.13432835820895522</v>
      </c>
      <c r="AD73" s="274" t="str">
        <f>Master_Data[[#This Row],[Prac. Book]]</f>
        <v>U</v>
      </c>
      <c r="AE73" s="274" t="str">
        <f>Master_Data[[#This Row],[GARP EOC Ques.]]</f>
        <v>U</v>
      </c>
    </row>
    <row r="74" spans="2:31" ht="27" customHeight="1" x14ac:dyDescent="0.3">
      <c r="B74" s="3">
        <v>66</v>
      </c>
      <c r="C74" s="182" t="str">
        <f ca="1">IF(Master_Data[[#This Row],[Column1]]=0,"",IF(Master_Data[[#This Row],[Column1]]=1,"Current Week",CONCATENATE("Week ",Master_Data[[#This Row],[Column1]])))</f>
        <v>Week 21</v>
      </c>
      <c r="D74" s="3">
        <f ca="1">ROUNDUP(Master_Data[[#This Row],[Column2]]/Working!$C$8,0)</f>
        <v>21</v>
      </c>
      <c r="E74" s="15">
        <f>SUM($F$9:F74)</f>
        <v>5.9294560185185192</v>
      </c>
      <c r="F74" s="27">
        <f>IF(Master_Data[[#This Row],[Lectures]]="D","",Master_Data[[#This Row],[Duration (hh:mm)]])</f>
        <v>7.0104166666666676E-2</v>
      </c>
      <c r="G74" s="2" t="s">
        <v>186</v>
      </c>
      <c r="H74" s="2">
        <v>69</v>
      </c>
      <c r="I74" s="2" t="s">
        <v>96</v>
      </c>
      <c r="J74" s="45" t="s">
        <v>193</v>
      </c>
      <c r="K74" s="177">
        <v>3</v>
      </c>
      <c r="L74" s="152">
        <v>3</v>
      </c>
      <c r="M74" s="153">
        <v>1</v>
      </c>
      <c r="N74" s="153">
        <v>3</v>
      </c>
      <c r="O74" s="153">
        <v>3</v>
      </c>
      <c r="P74" s="153">
        <v>3</v>
      </c>
      <c r="Q74" s="154">
        <v>3</v>
      </c>
      <c r="R74" s="178">
        <v>7.0104166666666676E-2</v>
      </c>
      <c r="S74" s="43">
        <f>(SUM($R$9:R74)/$R$4)*100</f>
        <v>69.380041278216254</v>
      </c>
      <c r="T74" s="28" t="s">
        <v>6</v>
      </c>
      <c r="U74" s="28" t="s">
        <v>6</v>
      </c>
      <c r="V74" s="28" t="s">
        <v>6</v>
      </c>
      <c r="W74" s="28" t="s">
        <v>6</v>
      </c>
      <c r="X74" s="28" t="s">
        <v>6</v>
      </c>
      <c r="Y74" s="158">
        <v>2</v>
      </c>
      <c r="Z74" s="17"/>
      <c r="AA74" s="173">
        <f>P74/SUM($P$9:$P$70)</f>
        <v>1.3100436681222707E-2</v>
      </c>
      <c r="AB74" s="174">
        <f>Master_Data[[#This Row],[Imp. Level]]/SUMIF(Master_Data[Subject],Master_Data[[#This Row],[Subject]],Master_Data[Imp. Level])</f>
        <v>4.4776119402985072E-2</v>
      </c>
      <c r="AC74" s="157">
        <f>Master_Data[[#This Row],[Subjectwise weights]]*Master_Data[[#This Row],[Confidence Level]]</f>
        <v>8.9552238805970144E-2</v>
      </c>
      <c r="AD74" s="274" t="str">
        <f>Master_Data[[#This Row],[Prac. Book]]</f>
        <v>U</v>
      </c>
      <c r="AE74" s="274" t="str">
        <f>Master_Data[[#This Row],[GARP EOC Ques.]]</f>
        <v>U</v>
      </c>
    </row>
    <row r="75" spans="2:31" ht="27" customHeight="1" x14ac:dyDescent="0.3">
      <c r="B75" s="3">
        <v>67</v>
      </c>
      <c r="C75" s="182" t="str">
        <f ca="1">IF(Master_Data[[#This Row],[Column1]]=0,"",IF(Master_Data[[#This Row],[Column1]]=1,"Current Week",CONCATENATE("Week ",Master_Data[[#This Row],[Column1]])))</f>
        <v>Week 22</v>
      </c>
      <c r="D75" s="3">
        <f ca="1">ROUNDUP(Master_Data[[#This Row],[Column2]]/Working!$C$8,0)</f>
        <v>22</v>
      </c>
      <c r="E75" s="151">
        <f>SUM($F$9:F75)</f>
        <v>6.0128125000000008</v>
      </c>
      <c r="F75" s="27">
        <f>IF(Master_Data[[#This Row],[Lectures]]="D","",Master_Data[[#This Row],[Duration (hh:mm)]])</f>
        <v>8.335648148148149E-2</v>
      </c>
      <c r="G75" s="2" t="s">
        <v>186</v>
      </c>
      <c r="H75" s="2">
        <v>70</v>
      </c>
      <c r="I75" s="2" t="s">
        <v>96</v>
      </c>
      <c r="J75" s="45" t="s">
        <v>194</v>
      </c>
      <c r="K75" s="177">
        <v>5</v>
      </c>
      <c r="L75" s="152">
        <v>3</v>
      </c>
      <c r="M75" s="153">
        <v>2</v>
      </c>
      <c r="N75" s="153">
        <v>3</v>
      </c>
      <c r="O75" s="153">
        <v>4</v>
      </c>
      <c r="P75" s="153">
        <v>3</v>
      </c>
      <c r="Q75" s="154">
        <v>3</v>
      </c>
      <c r="R75" s="23">
        <v>8.335648148148149E-2</v>
      </c>
      <c r="S75" s="43">
        <f>(SUM($R$9:R75)/$R$4)*100</f>
        <v>70.355388107323364</v>
      </c>
      <c r="T75" s="28" t="s">
        <v>6</v>
      </c>
      <c r="U75" s="28" t="s">
        <v>6</v>
      </c>
      <c r="V75" s="28" t="s">
        <v>6</v>
      </c>
      <c r="W75" s="28" t="s">
        <v>6</v>
      </c>
      <c r="X75" s="28" t="s">
        <v>6</v>
      </c>
      <c r="Y75" s="158">
        <v>2</v>
      </c>
      <c r="Z75" s="17"/>
      <c r="AA75" s="173">
        <f>P75/SUM($P$9:$P$111)</f>
        <v>8.4269662921348312E-3</v>
      </c>
      <c r="AB75" s="174">
        <f>Master_Data[[#This Row],[Imp. Level]]/SUMIF(Master_Data[Subject],Master_Data[[#This Row],[Subject]],Master_Data[Imp. Level])</f>
        <v>4.4776119402985072E-2</v>
      </c>
      <c r="AC75" s="157">
        <f>Master_Data[[#This Row],[Subjectwise weights]]*Master_Data[[#This Row],[Confidence Level]]</f>
        <v>8.9552238805970144E-2</v>
      </c>
      <c r="AD75" s="274" t="str">
        <f>Master_Data[[#This Row],[Prac. Book]]</f>
        <v>U</v>
      </c>
      <c r="AE75" s="274" t="str">
        <f>Master_Data[[#This Row],[GARP EOC Ques.]]</f>
        <v>U</v>
      </c>
    </row>
    <row r="76" spans="2:31" ht="27" customHeight="1" x14ac:dyDescent="0.3">
      <c r="B76" s="3">
        <v>68</v>
      </c>
      <c r="C76" s="182" t="str">
        <f ca="1">IF(Master_Data[[#This Row],[Column1]]=0,"",IF(Master_Data[[#This Row],[Column1]]=1,"Current Week",CONCATENATE("Week ",Master_Data[[#This Row],[Column1]])))</f>
        <v>Week 22</v>
      </c>
      <c r="D76" s="3">
        <f ca="1">ROUNDUP(Master_Data[[#This Row],[Column2]]/Working!$C$8,0)</f>
        <v>22</v>
      </c>
      <c r="E76" s="15">
        <f>SUM($F$9:F76)</f>
        <v>6.0487384259259267</v>
      </c>
      <c r="F76" s="27">
        <f>IF(Master_Data[[#This Row],[Lectures]]="D","",Master_Data[[#This Row],[Duration (hh:mm)]])</f>
        <v>3.5925925925925924E-2</v>
      </c>
      <c r="G76" s="2" t="s">
        <v>185</v>
      </c>
      <c r="H76" s="2">
        <v>58</v>
      </c>
      <c r="I76" s="2" t="s">
        <v>96</v>
      </c>
      <c r="J76" s="45" t="s">
        <v>253</v>
      </c>
      <c r="K76" s="177">
        <v>4</v>
      </c>
      <c r="L76" s="152">
        <v>3</v>
      </c>
      <c r="M76" s="153">
        <v>1</v>
      </c>
      <c r="N76" s="153">
        <v>2</v>
      </c>
      <c r="O76" s="153">
        <v>2</v>
      </c>
      <c r="P76" s="153">
        <v>3</v>
      </c>
      <c r="Q76" s="154">
        <v>3</v>
      </c>
      <c r="R76" s="178">
        <v>3.5925925925925924E-2</v>
      </c>
      <c r="S76" s="43">
        <f>(SUM($R$9:R76)/$R$4)*100</f>
        <v>70.775754194180948</v>
      </c>
      <c r="T76" s="28" t="s">
        <v>6</v>
      </c>
      <c r="U76" s="28" t="s">
        <v>6</v>
      </c>
      <c r="V76" s="28" t="s">
        <v>6</v>
      </c>
      <c r="W76" s="28" t="s">
        <v>6</v>
      </c>
      <c r="X76" s="28" t="s">
        <v>6</v>
      </c>
      <c r="Y76" s="158">
        <v>2</v>
      </c>
      <c r="Z76" s="17"/>
      <c r="AA76" s="173">
        <f>P76/SUM($P$9:$P$70)</f>
        <v>1.3100436681222707E-2</v>
      </c>
      <c r="AB76" s="174">
        <f>Master_Data[[#This Row],[Imp. Level]]/SUMIF(Master_Data[Subject],Master_Data[[#This Row],[Subject]],Master_Data[Imp. Level])</f>
        <v>4.1666666666666664E-2</v>
      </c>
      <c r="AC76" s="157">
        <f>Master_Data[[#This Row],[Subjectwise weights]]*Master_Data[[#This Row],[Confidence Level]]</f>
        <v>8.3333333333333329E-2</v>
      </c>
      <c r="AD76" s="274" t="str">
        <f>Master_Data[[#This Row],[Prac. Book]]</f>
        <v>U</v>
      </c>
      <c r="AE76" s="274" t="str">
        <f>Master_Data[[#This Row],[GARP EOC Ques.]]</f>
        <v>U</v>
      </c>
    </row>
    <row r="77" spans="2:31" ht="27" customHeight="1" x14ac:dyDescent="0.3">
      <c r="B77" s="3">
        <v>69</v>
      </c>
      <c r="C77" s="182" t="str">
        <f ca="1">IF(Master_Data[[#This Row],[Column1]]=0,"",IF(Master_Data[[#This Row],[Column1]]=1,"Current Week",CONCATENATE("Week ",Master_Data[[#This Row],[Column1]])))</f>
        <v>Week 22</v>
      </c>
      <c r="D77" s="3">
        <f ca="1">ROUNDUP(Master_Data[[#This Row],[Column2]]/Working!$C$8,0)</f>
        <v>22</v>
      </c>
      <c r="E77" s="15">
        <f>SUM($F$9:F77)</f>
        <v>6.1061805555555564</v>
      </c>
      <c r="F77" s="27">
        <f>IF(Master_Data[[#This Row],[Lectures]]="D","",Master_Data[[#This Row],[Duration (hh:mm)]])</f>
        <v>5.7442129629629628E-2</v>
      </c>
      <c r="G77" s="2" t="s">
        <v>185</v>
      </c>
      <c r="H77" s="2">
        <v>59</v>
      </c>
      <c r="I77" s="2" t="s">
        <v>96</v>
      </c>
      <c r="J77" s="45" t="s">
        <v>254</v>
      </c>
      <c r="K77" s="177">
        <v>2</v>
      </c>
      <c r="L77" s="152">
        <v>3</v>
      </c>
      <c r="M77" s="153">
        <v>1</v>
      </c>
      <c r="N77" s="153">
        <v>3</v>
      </c>
      <c r="O77" s="153">
        <v>3</v>
      </c>
      <c r="P77" s="153">
        <v>3</v>
      </c>
      <c r="Q77" s="154">
        <v>3</v>
      </c>
      <c r="R77" s="27">
        <v>5.7442129629629628E-2</v>
      </c>
      <c r="S77" s="43">
        <f>(SUM($R$9:R77)/$R$4)*100</f>
        <v>71.447879480609515</v>
      </c>
      <c r="T77" s="28" t="s">
        <v>6</v>
      </c>
      <c r="U77" s="28" t="s">
        <v>6</v>
      </c>
      <c r="V77" s="28" t="s">
        <v>6</v>
      </c>
      <c r="W77" s="28" t="s">
        <v>6</v>
      </c>
      <c r="X77" s="28" t="s">
        <v>6</v>
      </c>
      <c r="Y77" s="158">
        <v>2</v>
      </c>
      <c r="Z77" s="17"/>
      <c r="AA77" s="173">
        <f>P77/SUM($P$9:$P$70)</f>
        <v>1.3100436681222707E-2</v>
      </c>
      <c r="AB77" s="174">
        <f>Master_Data[[#This Row],[Imp. Level]]/SUMIF(Master_Data[Subject],Master_Data[[#This Row],[Subject]],Master_Data[Imp. Level])</f>
        <v>4.1666666666666664E-2</v>
      </c>
      <c r="AC77" s="157">
        <f>Master_Data[[#This Row],[Subjectwise weights]]*Master_Data[[#This Row],[Confidence Level]]</f>
        <v>8.3333333333333329E-2</v>
      </c>
      <c r="AD77" s="274" t="str">
        <f>Master_Data[[#This Row],[Prac. Book]]</f>
        <v>U</v>
      </c>
      <c r="AE77" s="274" t="str">
        <f>Master_Data[[#This Row],[GARP EOC Ques.]]</f>
        <v>U</v>
      </c>
    </row>
    <row r="78" spans="2:31" ht="27" customHeight="1" x14ac:dyDescent="0.3">
      <c r="B78" s="3">
        <v>70</v>
      </c>
      <c r="C78" s="182" t="str">
        <f ca="1">IF(Master_Data[[#This Row],[Column1]]=0,"",IF(Master_Data[[#This Row],[Column1]]=1,"Current Week",CONCATENATE("Week ",Master_Data[[#This Row],[Column1]])))</f>
        <v>Week 22</v>
      </c>
      <c r="D78" s="3">
        <f ca="1">ROUNDUP(Master_Data[[#This Row],[Column2]]/Working!$C$8,0)</f>
        <v>22</v>
      </c>
      <c r="E78" s="15">
        <f>SUM($F$9:F78)</f>
        <v>6.1553240740740751</v>
      </c>
      <c r="F78" s="27">
        <f>IF(Master_Data[[#This Row],[Lectures]]="D","",Master_Data[[#This Row],[Duration (hh:mm)]])</f>
        <v>4.9143518518518524E-2</v>
      </c>
      <c r="G78" s="2" t="s">
        <v>185</v>
      </c>
      <c r="H78" s="2">
        <v>56</v>
      </c>
      <c r="I78" s="2" t="s">
        <v>96</v>
      </c>
      <c r="J78" s="45" t="s">
        <v>195</v>
      </c>
      <c r="K78" s="177">
        <v>3</v>
      </c>
      <c r="L78" s="152">
        <v>2</v>
      </c>
      <c r="M78" s="153">
        <v>1</v>
      </c>
      <c r="N78" s="153">
        <v>3</v>
      </c>
      <c r="O78" s="153">
        <v>3</v>
      </c>
      <c r="P78" s="153">
        <v>3</v>
      </c>
      <c r="Q78" s="154">
        <v>3</v>
      </c>
      <c r="R78" s="23">
        <v>4.9143518518518524E-2</v>
      </c>
      <c r="S78" s="43">
        <f>(SUM($R$9:R78)/$R$4)*100</f>
        <v>72.022903451227236</v>
      </c>
      <c r="T78" s="28" t="s">
        <v>6</v>
      </c>
      <c r="U78" s="28" t="s">
        <v>6</v>
      </c>
      <c r="V78" s="28" t="s">
        <v>6</v>
      </c>
      <c r="W78" s="28" t="s">
        <v>6</v>
      </c>
      <c r="X78" s="28" t="s">
        <v>6</v>
      </c>
      <c r="Y78" s="158">
        <v>3</v>
      </c>
      <c r="Z78" s="17"/>
      <c r="AA78" s="173">
        <f>P78/SUM($P$9:$P$70)</f>
        <v>1.3100436681222707E-2</v>
      </c>
      <c r="AB78" s="174">
        <f>Master_Data[[#This Row],[Imp. Level]]/SUMIF(Master_Data[Subject],Master_Data[[#This Row],[Subject]],Master_Data[Imp. Level])</f>
        <v>4.1666666666666664E-2</v>
      </c>
      <c r="AC78" s="157">
        <f>Master_Data[[#This Row],[Subjectwise weights]]*Master_Data[[#This Row],[Confidence Level]]</f>
        <v>0.125</v>
      </c>
      <c r="AD78" s="274" t="str">
        <f>Master_Data[[#This Row],[Prac. Book]]</f>
        <v>U</v>
      </c>
      <c r="AE78" s="274" t="str">
        <f>Master_Data[[#This Row],[GARP EOC Ques.]]</f>
        <v>U</v>
      </c>
    </row>
    <row r="79" spans="2:31" ht="27" customHeight="1" x14ac:dyDescent="0.3">
      <c r="B79" s="3">
        <v>71</v>
      </c>
      <c r="C79" s="182" t="str">
        <f ca="1">IF(Master_Data[[#This Row],[Column1]]=0,"",IF(Master_Data[[#This Row],[Column1]]=1,"Current Week",CONCATENATE("Week ",Master_Data[[#This Row],[Column1]])))</f>
        <v>Week 22</v>
      </c>
      <c r="D79" s="3">
        <f ca="1">ROUNDUP(Master_Data[[#This Row],[Column2]]/Working!$C$8,0)</f>
        <v>22</v>
      </c>
      <c r="E79" s="15">
        <f>SUM($F$9:F79)</f>
        <v>6.1953935185185198</v>
      </c>
      <c r="F79" s="27">
        <f>IF(Master_Data[[#This Row],[Lectures]]="D","",Master_Data[[#This Row],[Duration (hh:mm)]])</f>
        <v>4.0069444444444442E-2</v>
      </c>
      <c r="G79" s="2" t="s">
        <v>185</v>
      </c>
      <c r="H79" s="2">
        <v>54</v>
      </c>
      <c r="I79" s="2" t="s">
        <v>96</v>
      </c>
      <c r="J79" s="45" t="s">
        <v>196</v>
      </c>
      <c r="K79" s="177">
        <v>4</v>
      </c>
      <c r="L79" s="44">
        <v>2</v>
      </c>
      <c r="M79" s="44">
        <v>1</v>
      </c>
      <c r="N79" s="44">
        <v>2</v>
      </c>
      <c r="O79" s="44">
        <v>2</v>
      </c>
      <c r="P79" s="44">
        <v>1</v>
      </c>
      <c r="Q79" s="44">
        <v>2</v>
      </c>
      <c r="R79" s="23">
        <v>4.0069444444444442E-2</v>
      </c>
      <c r="S79" s="43">
        <f>(SUM($R$9:R79)/$R$4)*100</f>
        <v>72.491752482380917</v>
      </c>
      <c r="T79" s="28" t="s">
        <v>6</v>
      </c>
      <c r="U79" s="28" t="s">
        <v>6</v>
      </c>
      <c r="V79" s="28" t="s">
        <v>6</v>
      </c>
      <c r="W79" s="28" t="s">
        <v>6</v>
      </c>
      <c r="X79" s="28" t="s">
        <v>6</v>
      </c>
      <c r="Y79" s="158">
        <v>3</v>
      </c>
      <c r="Z79" s="17"/>
      <c r="AA79" s="173">
        <f>P79/SUM($P$9:$P$111)</f>
        <v>2.8089887640449437E-3</v>
      </c>
      <c r="AB79" s="174">
        <f>Master_Data[[#This Row],[Imp. Level]]/SUMIF(Master_Data[Subject],Master_Data[[#This Row],[Subject]],Master_Data[Imp. Level])</f>
        <v>1.3888888888888888E-2</v>
      </c>
      <c r="AC79" s="157">
        <f>Master_Data[[#This Row],[Subjectwise weights]]*Master_Data[[#This Row],[Confidence Level]]</f>
        <v>4.1666666666666664E-2</v>
      </c>
      <c r="AD79" s="274" t="str">
        <f>Master_Data[[#This Row],[Prac. Book]]</f>
        <v>U</v>
      </c>
      <c r="AE79" s="274" t="str">
        <f>Master_Data[[#This Row],[GARP EOC Ques.]]</f>
        <v>U</v>
      </c>
    </row>
    <row r="80" spans="2:31" ht="27" customHeight="1" x14ac:dyDescent="0.3">
      <c r="B80" s="3">
        <v>72</v>
      </c>
      <c r="C80" s="182" t="str">
        <f ca="1">IF(Master_Data[[#This Row],[Column1]]=0,"",IF(Master_Data[[#This Row],[Column1]]=1,"Current Week",CONCATENATE("Week ",Master_Data[[#This Row],[Column1]])))</f>
        <v>Week 22</v>
      </c>
      <c r="D80" s="3">
        <f ca="1">ROUNDUP(Master_Data[[#This Row],[Column2]]/Working!$C$8,0)</f>
        <v>22</v>
      </c>
      <c r="E80" s="15">
        <f>SUM($F$9:F80)</f>
        <v>6.2162384259259271</v>
      </c>
      <c r="F80" s="27">
        <f>IF(Master_Data[[#This Row],[Lectures]]="D","",Master_Data[[#This Row],[Duration (hh:mm)]])</f>
        <v>2.0844907407407406E-2</v>
      </c>
      <c r="G80" s="2" t="s">
        <v>185</v>
      </c>
      <c r="H80" s="2">
        <v>55</v>
      </c>
      <c r="I80" s="2" t="s">
        <v>96</v>
      </c>
      <c r="J80" s="45" t="s">
        <v>255</v>
      </c>
      <c r="K80" s="177">
        <v>3</v>
      </c>
      <c r="L80" s="44">
        <v>2</v>
      </c>
      <c r="M80" s="44">
        <v>1</v>
      </c>
      <c r="N80" s="44">
        <v>3</v>
      </c>
      <c r="O80" s="44">
        <v>3</v>
      </c>
      <c r="P80" s="44">
        <v>4</v>
      </c>
      <c r="Q80" s="44">
        <v>3</v>
      </c>
      <c r="R80" s="23">
        <v>2.0844907407407406E-2</v>
      </c>
      <c r="S80" s="43">
        <f>(SUM($R$9:R80)/$R$4)*100</f>
        <v>72.735656903267042</v>
      </c>
      <c r="T80" s="28" t="s">
        <v>6</v>
      </c>
      <c r="U80" s="28" t="s">
        <v>6</v>
      </c>
      <c r="V80" s="28" t="s">
        <v>6</v>
      </c>
      <c r="W80" s="28" t="s">
        <v>6</v>
      </c>
      <c r="X80" s="28" t="s">
        <v>6</v>
      </c>
      <c r="Y80" s="158">
        <v>2</v>
      </c>
      <c r="Z80" s="17"/>
      <c r="AA80" s="173">
        <f>P80/SUM($P$9:$P$111)</f>
        <v>1.1235955056179775E-2</v>
      </c>
      <c r="AB80" s="174">
        <f>Master_Data[[#This Row],[Imp. Level]]/SUMIF(Master_Data[Subject],Master_Data[[#This Row],[Subject]],Master_Data[Imp. Level])</f>
        <v>5.5555555555555552E-2</v>
      </c>
      <c r="AC80" s="157">
        <f>Master_Data[[#This Row],[Subjectwise weights]]*Master_Data[[#This Row],[Confidence Level]]</f>
        <v>0.1111111111111111</v>
      </c>
      <c r="AD80" s="274" t="str">
        <f>Master_Data[[#This Row],[Prac. Book]]</f>
        <v>U</v>
      </c>
      <c r="AE80" s="274" t="str">
        <f>Master_Data[[#This Row],[GARP EOC Ques.]]</f>
        <v>U</v>
      </c>
    </row>
    <row r="81" spans="2:31" ht="27" customHeight="1" x14ac:dyDescent="0.3">
      <c r="B81" s="3">
        <v>73</v>
      </c>
      <c r="C81" s="182" t="str">
        <f ca="1">IF(Master_Data[[#This Row],[Column1]]=0,"",IF(Master_Data[[#This Row],[Column1]]=1,"Current Week",CONCATENATE("Week ",Master_Data[[#This Row],[Column1]])))</f>
        <v>Week 23</v>
      </c>
      <c r="D81" s="3">
        <f ca="1">ROUNDUP(Master_Data[[#This Row],[Column2]]/Working!$C$8,0)</f>
        <v>23</v>
      </c>
      <c r="E81" s="15">
        <f>SUM($F$9:F81)</f>
        <v>6.2645601851851866</v>
      </c>
      <c r="F81" s="27">
        <f>IF(Master_Data[[#This Row],[Lectures]]="D","",Master_Data[[#This Row],[Duration (hh:mm)]])</f>
        <v>4.8321759259259266E-2</v>
      </c>
      <c r="G81" s="2" t="s">
        <v>186</v>
      </c>
      <c r="H81" s="2">
        <v>71</v>
      </c>
      <c r="I81" s="2" t="s">
        <v>96</v>
      </c>
      <c r="J81" s="45" t="s">
        <v>197</v>
      </c>
      <c r="K81" s="177">
        <v>3</v>
      </c>
      <c r="L81" s="152">
        <v>3</v>
      </c>
      <c r="M81" s="153">
        <v>1</v>
      </c>
      <c r="N81" s="153">
        <v>3</v>
      </c>
      <c r="O81" s="153">
        <v>3</v>
      </c>
      <c r="P81" s="153">
        <v>3</v>
      </c>
      <c r="Q81" s="154">
        <v>3</v>
      </c>
      <c r="R81" s="23">
        <v>4.8321759259259266E-2</v>
      </c>
      <c r="S81" s="43">
        <f>(SUM($R$9:R81)/$R$4)*100</f>
        <v>73.301065541356763</v>
      </c>
      <c r="T81" s="28" t="s">
        <v>6</v>
      </c>
      <c r="U81" s="28" t="s">
        <v>6</v>
      </c>
      <c r="V81" s="28" t="s">
        <v>6</v>
      </c>
      <c r="W81" s="28" t="s">
        <v>6</v>
      </c>
      <c r="X81" s="28" t="s">
        <v>6</v>
      </c>
      <c r="Y81" s="158">
        <v>3</v>
      </c>
      <c r="Z81" s="17"/>
      <c r="AA81" s="173">
        <f>P81/SUM($P$9:$P$111)</f>
        <v>8.4269662921348312E-3</v>
      </c>
      <c r="AB81" s="174">
        <f>Master_Data[[#This Row],[Imp. Level]]/SUMIF(Master_Data[Subject],Master_Data[[#This Row],[Subject]],Master_Data[Imp. Level])</f>
        <v>4.4776119402985072E-2</v>
      </c>
      <c r="AC81" s="157">
        <f>Master_Data[[#This Row],[Subjectwise weights]]*Master_Data[[#This Row],[Confidence Level]]</f>
        <v>0.13432835820895522</v>
      </c>
      <c r="AD81" s="274" t="str">
        <f>Master_Data[[#This Row],[Prac. Book]]</f>
        <v>U</v>
      </c>
      <c r="AE81" s="274" t="str">
        <f>Master_Data[[#This Row],[GARP EOC Ques.]]</f>
        <v>U</v>
      </c>
    </row>
    <row r="82" spans="2:31" ht="27" customHeight="1" x14ac:dyDescent="0.3">
      <c r="B82" s="3">
        <v>74</v>
      </c>
      <c r="C82" s="182" t="str">
        <f ca="1">IF(Master_Data[[#This Row],[Column1]]=0,"",IF(Master_Data[[#This Row],[Column1]]=1,"Current Week",CONCATENATE("Week ",Master_Data[[#This Row],[Column1]])))</f>
        <v>Week 23</v>
      </c>
      <c r="D82" s="3">
        <f ca="1">ROUNDUP(Master_Data[[#This Row],[Column2]]/Working!$C$8,0)</f>
        <v>23</v>
      </c>
      <c r="E82" s="15">
        <f>SUM($F$9:F82)</f>
        <v>6.3233449074074093</v>
      </c>
      <c r="F82" s="27">
        <f>IF(Master_Data[[#This Row],[Lectures]]="D","",Master_Data[[#This Row],[Duration (hh:mm)]])</f>
        <v>5.8784722222222224E-2</v>
      </c>
      <c r="G82" s="2" t="s">
        <v>186</v>
      </c>
      <c r="H82" s="2">
        <v>72</v>
      </c>
      <c r="I82" s="2" t="s">
        <v>96</v>
      </c>
      <c r="J82" s="271" t="s">
        <v>198</v>
      </c>
      <c r="K82" s="177">
        <v>3</v>
      </c>
      <c r="L82" s="152">
        <v>2</v>
      </c>
      <c r="M82" s="153">
        <v>1</v>
      </c>
      <c r="N82" s="153">
        <v>2</v>
      </c>
      <c r="O82" s="153">
        <v>2</v>
      </c>
      <c r="P82" s="153">
        <v>3</v>
      </c>
      <c r="Q82" s="154">
        <v>3</v>
      </c>
      <c r="R82" s="23">
        <v>5.8784722222222224E-2</v>
      </c>
      <c r="S82" s="43">
        <f>(SUM($R$9:R82)/$R$4)*100</f>
        <v>73.988900385155006</v>
      </c>
      <c r="T82" s="28" t="s">
        <v>6</v>
      </c>
      <c r="U82" s="28" t="s">
        <v>6</v>
      </c>
      <c r="V82" s="28" t="s">
        <v>6</v>
      </c>
      <c r="W82" s="28" t="s">
        <v>6</v>
      </c>
      <c r="X82" s="28" t="s">
        <v>6</v>
      </c>
      <c r="Y82" s="158">
        <v>2</v>
      </c>
      <c r="Z82" s="17"/>
      <c r="AA82" s="173">
        <f>P82/SUM($P$9:$P$111)</f>
        <v>8.4269662921348312E-3</v>
      </c>
      <c r="AB82" s="174">
        <f>Master_Data[[#This Row],[Imp. Level]]/SUMIF(Master_Data[Subject],Master_Data[[#This Row],[Subject]],Master_Data[Imp. Level])</f>
        <v>4.4776119402985072E-2</v>
      </c>
      <c r="AC82" s="157">
        <f>Master_Data[[#This Row],[Subjectwise weights]]*Master_Data[[#This Row],[Confidence Level]]</f>
        <v>8.9552238805970144E-2</v>
      </c>
      <c r="AD82" s="274" t="str">
        <f>Master_Data[[#This Row],[Prac. Book]]</f>
        <v>U</v>
      </c>
      <c r="AE82" s="274" t="str">
        <f>Master_Data[[#This Row],[GARP EOC Ques.]]</f>
        <v>U</v>
      </c>
    </row>
    <row r="83" spans="2:31" ht="27" customHeight="1" x14ac:dyDescent="0.3">
      <c r="B83" s="3">
        <v>75</v>
      </c>
      <c r="C83" s="182" t="str">
        <f ca="1">IF(Master_Data[[#This Row],[Column1]]=0,"",IF(Master_Data[[#This Row],[Column1]]=1,"Current Week",CONCATENATE("Week ",Master_Data[[#This Row],[Column1]])))</f>
        <v>Week 23</v>
      </c>
      <c r="D83" s="3">
        <f ca="1">ROUNDUP(Master_Data[[#This Row],[Column2]]/Working!$C$8,0)</f>
        <v>23</v>
      </c>
      <c r="E83" s="15">
        <f>SUM($F$9:F83)</f>
        <v>6.3767708333333353</v>
      </c>
      <c r="F83" s="27">
        <f>IF(Master_Data[[#This Row],[Lectures]]="D","",Master_Data[[#This Row],[Duration (hh:mm)]])</f>
        <v>5.3425925925925925E-2</v>
      </c>
      <c r="G83" s="2" t="s">
        <v>186</v>
      </c>
      <c r="H83" s="2">
        <v>73</v>
      </c>
      <c r="I83" s="2" t="s">
        <v>96</v>
      </c>
      <c r="J83" s="45" t="s">
        <v>199</v>
      </c>
      <c r="K83" s="177">
        <v>3</v>
      </c>
      <c r="L83" s="152">
        <v>3</v>
      </c>
      <c r="M83" s="153">
        <v>2</v>
      </c>
      <c r="N83" s="153">
        <v>3</v>
      </c>
      <c r="O83" s="153">
        <v>4</v>
      </c>
      <c r="P83" s="153">
        <v>3</v>
      </c>
      <c r="Q83" s="154">
        <v>3</v>
      </c>
      <c r="R83" s="23">
        <v>5.3425925925925925E-2</v>
      </c>
      <c r="S83" s="43">
        <f>(SUM($R$9:R83)/$R$4)*100</f>
        <v>74.614032426693257</v>
      </c>
      <c r="T83" s="28" t="s">
        <v>6</v>
      </c>
      <c r="U83" s="28" t="s">
        <v>6</v>
      </c>
      <c r="V83" s="28" t="s">
        <v>6</v>
      </c>
      <c r="W83" s="28" t="s">
        <v>6</v>
      </c>
      <c r="X83" s="28" t="s">
        <v>6</v>
      </c>
      <c r="Y83" s="158">
        <v>3</v>
      </c>
      <c r="Z83" s="17"/>
      <c r="AA83" s="173">
        <f>P83/SUM($P$9:$P$111)</f>
        <v>8.4269662921348312E-3</v>
      </c>
      <c r="AB83" s="174">
        <f>Master_Data[[#This Row],[Imp. Level]]/SUMIF(Master_Data[Subject],Master_Data[[#This Row],[Subject]],Master_Data[Imp. Level])</f>
        <v>4.4776119402985072E-2</v>
      </c>
      <c r="AC83" s="157">
        <f>Master_Data[[#This Row],[Subjectwise weights]]*Master_Data[[#This Row],[Confidence Level]]</f>
        <v>0.13432835820895522</v>
      </c>
      <c r="AD83" s="274" t="str">
        <f>Master_Data[[#This Row],[Prac. Book]]</f>
        <v>U</v>
      </c>
      <c r="AE83" s="274" t="str">
        <f>Master_Data[[#This Row],[GARP EOC Ques.]]</f>
        <v>U</v>
      </c>
    </row>
    <row r="84" spans="2:31" ht="27" customHeight="1" x14ac:dyDescent="0.3">
      <c r="B84" s="3">
        <v>76</v>
      </c>
      <c r="C84" s="182" t="str">
        <f ca="1">IF(Master_Data[[#This Row],[Column1]]=0,"",IF(Master_Data[[#This Row],[Column1]]=1,"Current Week",CONCATENATE("Week ",Master_Data[[#This Row],[Column1]])))</f>
        <v>Week 23</v>
      </c>
      <c r="D84" s="3">
        <f ca="1">ROUNDUP(Master_Data[[#This Row],[Column2]]/Working!$C$8,0)</f>
        <v>23</v>
      </c>
      <c r="E84" s="15">
        <f>SUM($F$9:F84)</f>
        <v>6.4433217592592609</v>
      </c>
      <c r="F84" s="27">
        <f>IF(Master_Data[[#This Row],[Lectures]]="D","",Master_Data[[#This Row],[Duration (hh:mm)]])</f>
        <v>6.655092592592593E-2</v>
      </c>
      <c r="G84" s="2" t="s">
        <v>186</v>
      </c>
      <c r="H84" s="2">
        <v>74</v>
      </c>
      <c r="I84" s="2" t="s">
        <v>96</v>
      </c>
      <c r="J84" s="45" t="s">
        <v>200</v>
      </c>
      <c r="K84" s="177">
        <v>3</v>
      </c>
      <c r="L84" s="152">
        <v>3</v>
      </c>
      <c r="M84" s="153">
        <v>1</v>
      </c>
      <c r="N84" s="153">
        <v>3</v>
      </c>
      <c r="O84" s="153">
        <v>3</v>
      </c>
      <c r="P84" s="153">
        <v>3</v>
      </c>
      <c r="Q84" s="154">
        <v>3</v>
      </c>
      <c r="R84" s="23">
        <v>6.655092592592593E-2</v>
      </c>
      <c r="S84" s="43">
        <f>(SUM($R$9:R84)/$R$4)*100</f>
        <v>75.392738934241962</v>
      </c>
      <c r="T84" s="28" t="s">
        <v>6</v>
      </c>
      <c r="U84" s="28" t="s">
        <v>6</v>
      </c>
      <c r="V84" s="28" t="s">
        <v>6</v>
      </c>
      <c r="W84" s="28" t="s">
        <v>6</v>
      </c>
      <c r="X84" s="28" t="s">
        <v>6</v>
      </c>
      <c r="Y84" s="158">
        <v>3</v>
      </c>
      <c r="Z84" s="17"/>
      <c r="AA84" s="173">
        <f>P84/SUM($P$9:$P$111)</f>
        <v>8.4269662921348312E-3</v>
      </c>
      <c r="AB84" s="174">
        <f>Master_Data[[#This Row],[Imp. Level]]/SUMIF(Master_Data[Subject],Master_Data[[#This Row],[Subject]],Master_Data[Imp. Level])</f>
        <v>4.4776119402985072E-2</v>
      </c>
      <c r="AC84" s="157">
        <f>Master_Data[[#This Row],[Subjectwise weights]]*Master_Data[[#This Row],[Confidence Level]]</f>
        <v>0.13432835820895522</v>
      </c>
      <c r="AD84" s="274" t="str">
        <f>Master_Data[[#This Row],[Prac. Book]]</f>
        <v>U</v>
      </c>
      <c r="AE84" s="274" t="str">
        <f>Master_Data[[#This Row],[GARP EOC Ques.]]</f>
        <v>U</v>
      </c>
    </row>
    <row r="85" spans="2:31" ht="27" customHeight="1" x14ac:dyDescent="0.3">
      <c r="B85" s="3">
        <v>77</v>
      </c>
      <c r="C85" s="182" t="str">
        <f ca="1">IF(Master_Data[[#This Row],[Column1]]=0,"",IF(Master_Data[[#This Row],[Column1]]=1,"Current Week",CONCATENATE("Week ",Master_Data[[#This Row],[Column1]])))</f>
        <v>Week 24</v>
      </c>
      <c r="D85" s="3">
        <f ca="1">ROUNDUP(Master_Data[[#This Row],[Column2]]/Working!$C$8,0)</f>
        <v>24</v>
      </c>
      <c r="E85" s="15">
        <f>SUM($F$9:F85)</f>
        <v>6.5395370370370385</v>
      </c>
      <c r="F85" s="27">
        <f>IF(Master_Data[[#This Row],[Lectures]]="D","",Master_Data[[#This Row],[Duration (hh:mm)]])</f>
        <v>9.6215277777777775E-2</v>
      </c>
      <c r="G85" s="2" t="s">
        <v>186</v>
      </c>
      <c r="H85" s="2">
        <v>75</v>
      </c>
      <c r="I85" s="2" t="s">
        <v>96</v>
      </c>
      <c r="J85" s="45" t="s">
        <v>201</v>
      </c>
      <c r="K85" s="177">
        <v>3</v>
      </c>
      <c r="L85" s="152">
        <v>3</v>
      </c>
      <c r="M85" s="153">
        <v>2</v>
      </c>
      <c r="N85" s="153">
        <v>3</v>
      </c>
      <c r="O85" s="153">
        <v>4</v>
      </c>
      <c r="P85" s="153">
        <v>3</v>
      </c>
      <c r="Q85" s="154">
        <v>3</v>
      </c>
      <c r="R85" s="23">
        <v>9.6215277777777775E-2</v>
      </c>
      <c r="S85" s="43">
        <f>(SUM($R$9:R85)/$R$4)*100</f>
        <v>76.518545403329341</v>
      </c>
      <c r="T85" s="28" t="s">
        <v>6</v>
      </c>
      <c r="U85" s="28" t="s">
        <v>6</v>
      </c>
      <c r="V85" s="28" t="s">
        <v>6</v>
      </c>
      <c r="W85" s="28" t="s">
        <v>6</v>
      </c>
      <c r="X85" s="28" t="s">
        <v>6</v>
      </c>
      <c r="Y85" s="158">
        <v>2</v>
      </c>
      <c r="Z85" s="17"/>
      <c r="AA85" s="173">
        <f>P85/SUM($P$9:$P$111)</f>
        <v>8.4269662921348312E-3</v>
      </c>
      <c r="AB85" s="174">
        <f>Master_Data[[#This Row],[Imp. Level]]/SUMIF(Master_Data[Subject],Master_Data[[#This Row],[Subject]],Master_Data[Imp. Level])</f>
        <v>4.4776119402985072E-2</v>
      </c>
      <c r="AC85" s="157">
        <f>Master_Data[[#This Row],[Subjectwise weights]]*Master_Data[[#This Row],[Confidence Level]]</f>
        <v>8.9552238805970144E-2</v>
      </c>
      <c r="AD85" s="274" t="str">
        <f>Master_Data[[#This Row],[Prac. Book]]</f>
        <v>U</v>
      </c>
      <c r="AE85" s="274" t="str">
        <f>Master_Data[[#This Row],[GARP EOC Ques.]]</f>
        <v>U</v>
      </c>
    </row>
    <row r="86" spans="2:31" ht="27" customHeight="1" x14ac:dyDescent="0.3">
      <c r="B86" s="3">
        <v>78</v>
      </c>
      <c r="C86" s="182" t="str">
        <f ca="1">IF(Master_Data[[#This Row],[Column1]]=0,"",IF(Master_Data[[#This Row],[Column1]]=1,"Current Week",CONCATENATE("Week ",Master_Data[[#This Row],[Column1]])))</f>
        <v>Week 24</v>
      </c>
      <c r="D86" s="3">
        <f ca="1">ROUNDUP(Master_Data[[#This Row],[Column2]]/Working!$C$8,0)</f>
        <v>24</v>
      </c>
      <c r="E86" s="15">
        <f>SUM($F$9:F86)</f>
        <v>6.5936458333333352</v>
      </c>
      <c r="F86" s="27">
        <f>IF(Master_Data[[#This Row],[Lectures]]="D","",Master_Data[[#This Row],[Duration (hh:mm)]])</f>
        <v>5.4108796296296301E-2</v>
      </c>
      <c r="G86" s="2" t="s">
        <v>186</v>
      </c>
      <c r="H86" s="2">
        <v>76</v>
      </c>
      <c r="I86" s="2" t="s">
        <v>96</v>
      </c>
      <c r="J86" s="45" t="s">
        <v>256</v>
      </c>
      <c r="K86" s="177">
        <v>4</v>
      </c>
      <c r="L86" s="152">
        <v>2</v>
      </c>
      <c r="M86" s="153">
        <v>3</v>
      </c>
      <c r="N86" s="153">
        <v>3</v>
      </c>
      <c r="O86" s="153">
        <v>4</v>
      </c>
      <c r="P86" s="153">
        <v>3</v>
      </c>
      <c r="Q86" s="154">
        <v>3</v>
      </c>
      <c r="R86" s="23">
        <v>5.4108796296296301E-2</v>
      </c>
      <c r="S86" s="43">
        <f>(SUM($R$9:R86)/$R$4)*100</f>
        <v>77.151667650771131</v>
      </c>
      <c r="T86" s="28" t="s">
        <v>6</v>
      </c>
      <c r="U86" s="28" t="s">
        <v>6</v>
      </c>
      <c r="V86" s="28" t="s">
        <v>6</v>
      </c>
      <c r="W86" s="28" t="s">
        <v>6</v>
      </c>
      <c r="X86" s="28" t="s">
        <v>6</v>
      </c>
      <c r="Y86" s="158">
        <v>3</v>
      </c>
      <c r="Z86" s="17"/>
      <c r="AA86" s="173">
        <f>P86/SUM($P$9:$P$111)</f>
        <v>8.4269662921348312E-3</v>
      </c>
      <c r="AB86" s="174">
        <f>Master_Data[[#This Row],[Imp. Level]]/SUMIF(Master_Data[Subject],Master_Data[[#This Row],[Subject]],Master_Data[Imp. Level])</f>
        <v>4.4776119402985072E-2</v>
      </c>
      <c r="AC86" s="157">
        <f>Master_Data[[#This Row],[Subjectwise weights]]*Master_Data[[#This Row],[Confidence Level]]</f>
        <v>0.13432835820895522</v>
      </c>
      <c r="AD86" s="274" t="str">
        <f>Master_Data[[#This Row],[Prac. Book]]</f>
        <v>U</v>
      </c>
      <c r="AE86" s="274" t="str">
        <f>Master_Data[[#This Row],[GARP EOC Ques.]]</f>
        <v>U</v>
      </c>
    </row>
    <row r="87" spans="2:31" ht="27" customHeight="1" x14ac:dyDescent="0.3">
      <c r="B87" s="3">
        <v>79</v>
      </c>
      <c r="C87" s="182" t="str">
        <f ca="1">IF(Master_Data[[#This Row],[Column1]]=0,"",IF(Master_Data[[#This Row],[Column1]]=1,"Current Week",CONCATENATE("Week ",Master_Data[[#This Row],[Column1]])))</f>
        <v>Week 24</v>
      </c>
      <c r="D87" s="3">
        <f ca="1">ROUNDUP(Master_Data[[#This Row],[Column2]]/Working!$C$8,0)</f>
        <v>24</v>
      </c>
      <c r="E87" s="15">
        <f>SUM($F$9:F87)</f>
        <v>6.6111805555555572</v>
      </c>
      <c r="F87" s="27">
        <f>IF(Master_Data[[#This Row],[Lectures]]="D","",Master_Data[[#This Row],[Duration (hh:mm)]])</f>
        <v>1.7534722222222222E-2</v>
      </c>
      <c r="G87" s="2" t="s">
        <v>185</v>
      </c>
      <c r="H87" s="2">
        <v>62</v>
      </c>
      <c r="I87" s="2" t="s">
        <v>96</v>
      </c>
      <c r="J87" s="45" t="s">
        <v>257</v>
      </c>
      <c r="K87" s="177">
        <v>3</v>
      </c>
      <c r="L87" s="152">
        <v>2</v>
      </c>
      <c r="M87" s="153">
        <v>1</v>
      </c>
      <c r="N87" s="153">
        <v>3</v>
      </c>
      <c r="O87" s="153">
        <v>3</v>
      </c>
      <c r="P87" s="153">
        <v>4</v>
      </c>
      <c r="Q87" s="154">
        <v>3</v>
      </c>
      <c r="R87" s="23">
        <v>1.7534722222222222E-2</v>
      </c>
      <c r="S87" s="43">
        <f>(SUM($R$9:R87)/$R$4)*100</f>
        <v>77.356839887107881</v>
      </c>
      <c r="T87" s="28" t="s">
        <v>6</v>
      </c>
      <c r="U87" s="28" t="s">
        <v>6</v>
      </c>
      <c r="V87" s="28" t="s">
        <v>6</v>
      </c>
      <c r="W87" s="28" t="s">
        <v>6</v>
      </c>
      <c r="X87" s="28" t="s">
        <v>6</v>
      </c>
      <c r="Y87" s="158">
        <v>2</v>
      </c>
      <c r="Z87" s="17"/>
      <c r="AA87" s="173">
        <f>P87/SUM($P$9:$P$111)</f>
        <v>1.1235955056179775E-2</v>
      </c>
      <c r="AB87" s="174">
        <f>Master_Data[[#This Row],[Imp. Level]]/SUMIF(Master_Data[Subject],Master_Data[[#This Row],[Subject]],Master_Data[Imp. Level])</f>
        <v>5.5555555555555552E-2</v>
      </c>
      <c r="AC87" s="157">
        <f>Master_Data[[#This Row],[Subjectwise weights]]*Master_Data[[#This Row],[Confidence Level]]</f>
        <v>0.1111111111111111</v>
      </c>
      <c r="AD87" s="274" t="str">
        <f>Master_Data[[#This Row],[Prac. Book]]</f>
        <v>U</v>
      </c>
      <c r="AE87" s="274" t="str">
        <f>Master_Data[[#This Row],[GARP EOC Ques.]]</f>
        <v>U</v>
      </c>
    </row>
    <row r="88" spans="2:31" ht="27" customHeight="1" x14ac:dyDescent="0.3">
      <c r="B88" s="3">
        <v>80</v>
      </c>
      <c r="C88" s="182" t="str">
        <f ca="1">IF(Master_Data[[#This Row],[Column1]]=0,"",IF(Master_Data[[#This Row],[Column1]]=1,"Current Week",CONCATENATE("Week ",Master_Data[[#This Row],[Column1]])))</f>
        <v>Week 24</v>
      </c>
      <c r="D88" s="3">
        <f ca="1">ROUNDUP(Master_Data[[#This Row],[Column2]]/Working!$C$8,0)</f>
        <v>24</v>
      </c>
      <c r="E88" s="15">
        <f>SUM($F$9:F88)</f>
        <v>6.6592245370370389</v>
      </c>
      <c r="F88" s="27">
        <f>IF(Master_Data[[#This Row],[Lectures]]="D","",Master_Data[[#This Row],[Duration (hh:mm)]])</f>
        <v>4.8043981481481479E-2</v>
      </c>
      <c r="G88" s="2" t="s">
        <v>185</v>
      </c>
      <c r="H88" s="2">
        <v>63</v>
      </c>
      <c r="I88" s="2" t="s">
        <v>96</v>
      </c>
      <c r="J88" s="45" t="s">
        <v>258</v>
      </c>
      <c r="K88" s="177">
        <v>3</v>
      </c>
      <c r="L88" s="152">
        <v>2</v>
      </c>
      <c r="M88" s="153">
        <v>2</v>
      </c>
      <c r="N88" s="153">
        <v>4</v>
      </c>
      <c r="O88" s="153">
        <v>4</v>
      </c>
      <c r="P88" s="153">
        <v>4</v>
      </c>
      <c r="Q88" s="154">
        <v>4</v>
      </c>
      <c r="R88" s="23">
        <v>4.8043981481481479E-2</v>
      </c>
      <c r="S88" s="43">
        <f>(SUM($R$9:R88)/$R$4)*100</f>
        <v>77.918998271948695</v>
      </c>
      <c r="T88" s="28" t="s">
        <v>6</v>
      </c>
      <c r="U88" s="28" t="s">
        <v>6</v>
      </c>
      <c r="V88" s="28" t="s">
        <v>6</v>
      </c>
      <c r="W88" s="28" t="s">
        <v>6</v>
      </c>
      <c r="X88" s="28" t="s">
        <v>6</v>
      </c>
      <c r="Y88" s="158">
        <v>2</v>
      </c>
      <c r="Z88" s="17"/>
      <c r="AA88" s="173">
        <f>P88/SUM($P$9:$P$111)</f>
        <v>1.1235955056179775E-2</v>
      </c>
      <c r="AB88" s="174">
        <f>Master_Data[[#This Row],[Imp. Level]]/SUMIF(Master_Data[Subject],Master_Data[[#This Row],[Subject]],Master_Data[Imp. Level])</f>
        <v>5.5555555555555552E-2</v>
      </c>
      <c r="AC88" s="157">
        <f>Master_Data[[#This Row],[Subjectwise weights]]*Master_Data[[#This Row],[Confidence Level]]</f>
        <v>0.1111111111111111</v>
      </c>
      <c r="AD88" s="274" t="str">
        <f>Master_Data[[#This Row],[Prac. Book]]</f>
        <v>U</v>
      </c>
      <c r="AE88" s="274" t="str">
        <f>Master_Data[[#This Row],[GARP EOC Ques.]]</f>
        <v>U</v>
      </c>
    </row>
    <row r="89" spans="2:31" ht="27" customHeight="1" x14ac:dyDescent="0.3">
      <c r="B89" s="3">
        <v>81</v>
      </c>
      <c r="C89" s="182" t="str">
        <f ca="1">IF(Master_Data[[#This Row],[Column1]]=0,"",IF(Master_Data[[#This Row],[Column1]]=1,"Current Week",CONCATENATE("Week ",Master_Data[[#This Row],[Column1]])))</f>
        <v>Week 31</v>
      </c>
      <c r="D89" s="3">
        <f ca="1">ROUNDUP(Master_Data[[#This Row],[Column2]]/Working!$C$8,0)</f>
        <v>31</v>
      </c>
      <c r="E89" s="151">
        <f>SUM($F$9:F119)</f>
        <v>8.5463425925925947</v>
      </c>
      <c r="F89" s="27">
        <f>IF(Master_Data[[#This Row],[Lectures]]="D","",Master_Data[[#This Row],[Duration (hh:mm)]])</f>
        <v>7.1689814814814817E-2</v>
      </c>
      <c r="G89" s="2" t="s">
        <v>185</v>
      </c>
      <c r="H89" s="2">
        <v>61</v>
      </c>
      <c r="I89" s="2" t="s">
        <v>96</v>
      </c>
      <c r="J89" s="45" t="s">
        <v>259</v>
      </c>
      <c r="K89" s="177">
        <v>8</v>
      </c>
      <c r="L89" s="152">
        <v>3</v>
      </c>
      <c r="M89" s="153">
        <v>2</v>
      </c>
      <c r="N89" s="153">
        <v>3</v>
      </c>
      <c r="O89" s="153">
        <v>4</v>
      </c>
      <c r="P89" s="153">
        <v>5</v>
      </c>
      <c r="Q89" s="154">
        <v>4</v>
      </c>
      <c r="R89" s="23">
        <v>7.1689814814814817E-2</v>
      </c>
      <c r="S89" s="43">
        <f>(SUM($R$9:R89)/$R$4)*100</f>
        <v>78.757834464602041</v>
      </c>
      <c r="T89" s="28" t="s">
        <v>6</v>
      </c>
      <c r="U89" s="28" t="s">
        <v>6</v>
      </c>
      <c r="V89" s="28" t="s">
        <v>6</v>
      </c>
      <c r="W89" s="28" t="s">
        <v>6</v>
      </c>
      <c r="X89" s="28" t="s">
        <v>6</v>
      </c>
      <c r="Y89" s="158">
        <v>3</v>
      </c>
      <c r="Z89" s="17"/>
      <c r="AA89" s="173">
        <f>P89/SUM($P$9:$P$111)</f>
        <v>1.4044943820224719E-2</v>
      </c>
      <c r="AB89" s="174">
        <f>Master_Data[[#This Row],[Imp. Level]]/SUMIF(Master_Data[Subject],Master_Data[[#This Row],[Subject]],Master_Data[Imp. Level])</f>
        <v>6.9444444444444448E-2</v>
      </c>
      <c r="AC89" s="157">
        <f>Master_Data[[#This Row],[Subjectwise weights]]*Master_Data[[#This Row],[Confidence Level]]</f>
        <v>0.20833333333333334</v>
      </c>
      <c r="AD89" s="274" t="str">
        <f>Master_Data[[#This Row],[Prac. Book]]</f>
        <v>U</v>
      </c>
      <c r="AE89" s="274" t="str">
        <f>Master_Data[[#This Row],[GARP EOC Ques.]]</f>
        <v>U</v>
      </c>
    </row>
    <row r="90" spans="2:31" ht="27" customHeight="1" x14ac:dyDescent="0.3">
      <c r="B90" s="3">
        <v>82</v>
      </c>
      <c r="C90" s="182" t="str">
        <f ca="1">IF(Master_Data[[#This Row],[Column1]]=0,"",IF(Master_Data[[#This Row],[Column1]]=1,"Current Week",CONCATENATE("Week ",Master_Data[[#This Row],[Column1]])))</f>
        <v>Week 24</v>
      </c>
      <c r="D90" s="3">
        <f ca="1">ROUNDUP(Master_Data[[#This Row],[Column2]]/Working!$C$8,0)</f>
        <v>24</v>
      </c>
      <c r="E90" s="151">
        <f>SUM($F$9:F90)</f>
        <v>6.7914004629629652</v>
      </c>
      <c r="F90" s="27">
        <f>IF(Master_Data[[#This Row],[Lectures]]="D","",Master_Data[[#This Row],[Duration (hh:mm)]])</f>
        <v>6.0486111111111109E-2</v>
      </c>
      <c r="G90" s="2" t="s">
        <v>186</v>
      </c>
      <c r="H90" s="2">
        <v>77</v>
      </c>
      <c r="I90" s="2" t="s">
        <v>96</v>
      </c>
      <c r="J90" s="45" t="s">
        <v>202</v>
      </c>
      <c r="K90" s="177">
        <v>7</v>
      </c>
      <c r="L90" s="152">
        <v>3</v>
      </c>
      <c r="M90" s="153">
        <v>2</v>
      </c>
      <c r="N90" s="153">
        <v>3</v>
      </c>
      <c r="O90" s="153">
        <v>3</v>
      </c>
      <c r="P90" s="153">
        <v>4</v>
      </c>
      <c r="Q90" s="154">
        <v>3</v>
      </c>
      <c r="R90" s="23">
        <v>6.0486111111111109E-2</v>
      </c>
      <c r="S90" s="43">
        <f>(SUM($R$9:R90)/$R$4)*100</f>
        <v>79.465577109549784</v>
      </c>
      <c r="T90" s="28" t="s">
        <v>6</v>
      </c>
      <c r="U90" s="28" t="s">
        <v>6</v>
      </c>
      <c r="V90" s="28" t="s">
        <v>6</v>
      </c>
      <c r="W90" s="28" t="s">
        <v>6</v>
      </c>
      <c r="X90" s="28" t="s">
        <v>6</v>
      </c>
      <c r="Y90" s="158">
        <v>3</v>
      </c>
      <c r="Z90" s="17"/>
      <c r="AA90" s="173">
        <f>P90/SUM($P$9:$P$111)</f>
        <v>1.1235955056179775E-2</v>
      </c>
      <c r="AB90" s="174">
        <f>Master_Data[[#This Row],[Imp. Level]]/SUMIF(Master_Data[Subject],Master_Data[[#This Row],[Subject]],Master_Data[Imp. Level])</f>
        <v>5.9701492537313432E-2</v>
      </c>
      <c r="AC90" s="157">
        <f>Master_Data[[#This Row],[Subjectwise weights]]*Master_Data[[#This Row],[Confidence Level]]</f>
        <v>0.17910447761194029</v>
      </c>
      <c r="AD90" s="274" t="str">
        <f>Master_Data[[#This Row],[Prac. Book]]</f>
        <v>U</v>
      </c>
      <c r="AE90" s="274" t="str">
        <f>Master_Data[[#This Row],[GARP EOC Ques.]]</f>
        <v>U</v>
      </c>
    </row>
    <row r="91" spans="2:31" ht="27" customHeight="1" x14ac:dyDescent="0.3">
      <c r="B91" s="3">
        <v>83</v>
      </c>
      <c r="C91" s="182" t="str">
        <f ca="1">IF(Master_Data[[#This Row],[Column1]]=0,"",IF(Master_Data[[#This Row],[Column1]]=1,"Current Week",CONCATENATE("Week ",Master_Data[[#This Row],[Column1]])))</f>
        <v>Week 25</v>
      </c>
      <c r="D91" s="3">
        <f ca="1">ROUNDUP(Master_Data[[#This Row],[Column2]]/Working!$C$8,0)</f>
        <v>25</v>
      </c>
      <c r="E91" s="151">
        <f>SUM($F$9:F91)</f>
        <v>6.883472222222224</v>
      </c>
      <c r="F91" s="27">
        <f>IF(Master_Data[[#This Row],[Lectures]]="D","",Master_Data[[#This Row],[Duration (hh:mm)]])</f>
        <v>9.2071759259259256E-2</v>
      </c>
      <c r="G91" s="2" t="s">
        <v>186</v>
      </c>
      <c r="H91" s="2">
        <v>78</v>
      </c>
      <c r="I91" s="2" t="s">
        <v>96</v>
      </c>
      <c r="J91" s="45" t="s">
        <v>260</v>
      </c>
      <c r="K91" s="177">
        <v>4</v>
      </c>
      <c r="L91" s="152">
        <v>4</v>
      </c>
      <c r="M91" s="153">
        <v>2</v>
      </c>
      <c r="N91" s="153">
        <v>3</v>
      </c>
      <c r="O91" s="153">
        <v>4</v>
      </c>
      <c r="P91" s="153">
        <v>4</v>
      </c>
      <c r="Q91" s="154">
        <v>3</v>
      </c>
      <c r="R91" s="23">
        <v>9.2071759259259256E-2</v>
      </c>
      <c r="S91" s="43">
        <f>(SUM($R$9:R91)/$R$4)*100</f>
        <v>80.542900634341095</v>
      </c>
      <c r="T91" s="28" t="s">
        <v>6</v>
      </c>
      <c r="U91" s="28" t="s">
        <v>6</v>
      </c>
      <c r="V91" s="28" t="s">
        <v>6</v>
      </c>
      <c r="W91" s="28" t="s">
        <v>6</v>
      </c>
      <c r="X91" s="28" t="s">
        <v>6</v>
      </c>
      <c r="Y91" s="158">
        <v>2</v>
      </c>
      <c r="Z91" s="17"/>
      <c r="AA91" s="173">
        <f>P91/SUM($P$9:$P$111)</f>
        <v>1.1235955056179775E-2</v>
      </c>
      <c r="AB91" s="174">
        <f>Master_Data[[#This Row],[Imp. Level]]/SUMIF(Master_Data[Subject],Master_Data[[#This Row],[Subject]],Master_Data[Imp. Level])</f>
        <v>5.9701492537313432E-2</v>
      </c>
      <c r="AC91" s="157">
        <f>Master_Data[[#This Row],[Subjectwise weights]]*Master_Data[[#This Row],[Confidence Level]]</f>
        <v>0.11940298507462686</v>
      </c>
      <c r="AD91" s="274" t="str">
        <f>Master_Data[[#This Row],[Prac. Book]]</f>
        <v>U</v>
      </c>
      <c r="AE91" s="274" t="str">
        <f>Master_Data[[#This Row],[GARP EOC Ques.]]</f>
        <v>U</v>
      </c>
    </row>
    <row r="92" spans="2:31" ht="27" customHeight="1" x14ac:dyDescent="0.3">
      <c r="B92" s="3">
        <v>84</v>
      </c>
      <c r="C92" s="182" t="str">
        <f ca="1">IF(Master_Data[[#This Row],[Column1]]=0,"",IF(Master_Data[[#This Row],[Column1]]=1,"Current Week",CONCATENATE("Week ",Master_Data[[#This Row],[Column1]])))</f>
        <v>Week 25</v>
      </c>
      <c r="D92" s="3">
        <f ca="1">ROUNDUP(Master_Data[[#This Row],[Column2]]/Working!$C$8,0)</f>
        <v>25</v>
      </c>
      <c r="E92" s="151">
        <f>SUM($F$9:F92)</f>
        <v>6.9281365740740757</v>
      </c>
      <c r="F92" s="27">
        <f>IF(Master_Data[[#This Row],[Lectures]]="D","",Master_Data[[#This Row],[Duration (hh:mm)]])</f>
        <v>4.4664351851851851E-2</v>
      </c>
      <c r="G92" s="2" t="s">
        <v>186</v>
      </c>
      <c r="H92" s="2">
        <v>79</v>
      </c>
      <c r="I92" s="2" t="s">
        <v>96</v>
      </c>
      <c r="J92" s="45" t="s">
        <v>203</v>
      </c>
      <c r="K92" s="177">
        <v>3</v>
      </c>
      <c r="L92" s="152">
        <v>2</v>
      </c>
      <c r="M92" s="153">
        <v>1</v>
      </c>
      <c r="N92" s="153">
        <v>2</v>
      </c>
      <c r="O92" s="153">
        <v>3</v>
      </c>
      <c r="P92" s="153">
        <v>3</v>
      </c>
      <c r="Q92" s="154">
        <v>3</v>
      </c>
      <c r="R92" s="23">
        <v>4.4664351851851851E-2</v>
      </c>
      <c r="S92" s="43">
        <f>(SUM($R$9:R92)/$R$4)*100</f>
        <v>81.065514271320311</v>
      </c>
      <c r="T92" s="28" t="s">
        <v>6</v>
      </c>
      <c r="U92" s="28" t="s">
        <v>6</v>
      </c>
      <c r="V92" s="28" t="s">
        <v>6</v>
      </c>
      <c r="W92" s="28" t="s">
        <v>6</v>
      </c>
      <c r="X92" s="28" t="s">
        <v>6</v>
      </c>
      <c r="Y92" s="158">
        <v>2</v>
      </c>
      <c r="Z92" s="17"/>
      <c r="AA92" s="173">
        <f>P92/SUM($P$9:$P$111)</f>
        <v>8.4269662921348312E-3</v>
      </c>
      <c r="AB92" s="174">
        <f>Master_Data[[#This Row],[Imp. Level]]/SUMIF(Master_Data[Subject],Master_Data[[#This Row],[Subject]],Master_Data[Imp. Level])</f>
        <v>4.4776119402985072E-2</v>
      </c>
      <c r="AC92" s="157">
        <f>Master_Data[[#This Row],[Subjectwise weights]]*Master_Data[[#This Row],[Confidence Level]]</f>
        <v>8.9552238805970144E-2</v>
      </c>
      <c r="AD92" s="274" t="str">
        <f>Master_Data[[#This Row],[Prac. Book]]</f>
        <v>U</v>
      </c>
      <c r="AE92" s="274" t="str">
        <f>Master_Data[[#This Row],[GARP EOC Ques.]]</f>
        <v>U</v>
      </c>
    </row>
    <row r="93" spans="2:31" ht="27" customHeight="1" x14ac:dyDescent="0.3">
      <c r="B93" s="3">
        <v>85</v>
      </c>
      <c r="C93" s="182" t="str">
        <f ca="1">IF(Master_Data[[#This Row],[Column1]]=0,"",IF(Master_Data[[#This Row],[Column1]]=1,"Current Week",CONCATENATE("Week ",Master_Data[[#This Row],[Column1]])))</f>
        <v>Week 25</v>
      </c>
      <c r="D93" s="3">
        <f ca="1">ROUNDUP(Master_Data[[#This Row],[Column2]]/Working!$C$8,0)</f>
        <v>25</v>
      </c>
      <c r="E93" s="151">
        <f>SUM($F$9:F93)</f>
        <v>6.952974537037039</v>
      </c>
      <c r="F93" s="27">
        <f>IF(Master_Data[[#This Row],[Lectures]]="D","",Master_Data[[#This Row],[Duration (hh:mm)]])</f>
        <v>2.4837962962962964E-2</v>
      </c>
      <c r="G93" s="2" t="s">
        <v>186</v>
      </c>
      <c r="H93" s="2">
        <v>80</v>
      </c>
      <c r="I93" s="2" t="s">
        <v>96</v>
      </c>
      <c r="J93" s="45" t="s">
        <v>261</v>
      </c>
      <c r="K93" s="177">
        <v>3</v>
      </c>
      <c r="L93" s="152">
        <v>1</v>
      </c>
      <c r="M93" s="153">
        <v>2</v>
      </c>
      <c r="N93" s="153">
        <v>2</v>
      </c>
      <c r="O93" s="153">
        <v>4</v>
      </c>
      <c r="P93" s="153">
        <v>4</v>
      </c>
      <c r="Q93" s="154">
        <v>4</v>
      </c>
      <c r="R93" s="23">
        <v>2.4837962962962964E-2</v>
      </c>
      <c r="S93" s="43">
        <f>(SUM($R$9:R93)/$R$4)*100</f>
        <v>81.356141082659363</v>
      </c>
      <c r="T93" s="28" t="s">
        <v>6</v>
      </c>
      <c r="U93" s="28" t="s">
        <v>6</v>
      </c>
      <c r="V93" s="28" t="s">
        <v>6</v>
      </c>
      <c r="W93" s="28" t="s">
        <v>6</v>
      </c>
      <c r="X93" s="28" t="s">
        <v>6</v>
      </c>
      <c r="Y93" s="158">
        <v>3</v>
      </c>
      <c r="Z93" s="17"/>
      <c r="AA93" s="173">
        <f>P93/SUM($P$9:$P$111)</f>
        <v>1.1235955056179775E-2</v>
      </c>
      <c r="AB93" s="174">
        <f>Master_Data[[#This Row],[Imp. Level]]/SUMIF(Master_Data[Subject],Master_Data[[#This Row],[Subject]],Master_Data[Imp. Level])</f>
        <v>5.9701492537313432E-2</v>
      </c>
      <c r="AC93" s="157">
        <f>Master_Data[[#This Row],[Subjectwise weights]]*Master_Data[[#This Row],[Confidence Level]]</f>
        <v>0.17910447761194029</v>
      </c>
      <c r="AD93" s="274" t="str">
        <f>Master_Data[[#This Row],[Prac. Book]]</f>
        <v>U</v>
      </c>
      <c r="AE93" s="274" t="str">
        <f>Master_Data[[#This Row],[GARP EOC Ques.]]</f>
        <v>U</v>
      </c>
    </row>
    <row r="94" spans="2:31" ht="27" customHeight="1" x14ac:dyDescent="0.3">
      <c r="B94" s="3">
        <v>86</v>
      </c>
      <c r="C94" s="182" t="str">
        <f ca="1">IF(Master_Data[[#This Row],[Column1]]=0,"",IF(Master_Data[[#This Row],[Column1]]=1,"Current Week",CONCATENATE("Week ",Master_Data[[#This Row],[Column1]])))</f>
        <v>Week 25</v>
      </c>
      <c r="D94" s="3">
        <f ca="1">ROUNDUP(Master_Data[[#This Row],[Column2]]/Working!$C$8,0)</f>
        <v>25</v>
      </c>
      <c r="E94" s="151">
        <f>SUM($F$9:F94)</f>
        <v>7.0236689814814834</v>
      </c>
      <c r="F94" s="27">
        <f>IF(Master_Data[[#This Row],[Lectures]]="D","",Master_Data[[#This Row],[Duration (hh:mm)]])</f>
        <v>7.0694444444444449E-2</v>
      </c>
      <c r="G94" s="2" t="s">
        <v>186</v>
      </c>
      <c r="H94" s="2">
        <v>81</v>
      </c>
      <c r="I94" s="2" t="s">
        <v>96</v>
      </c>
      <c r="J94" s="45" t="s">
        <v>262</v>
      </c>
      <c r="K94" s="177">
        <v>4</v>
      </c>
      <c r="L94" s="152">
        <v>3</v>
      </c>
      <c r="M94" s="153">
        <v>3</v>
      </c>
      <c r="N94" s="153">
        <v>3</v>
      </c>
      <c r="O94" s="153">
        <v>4</v>
      </c>
      <c r="P94" s="153">
        <v>5</v>
      </c>
      <c r="Q94" s="154">
        <v>4</v>
      </c>
      <c r="R94" s="23">
        <v>7.0694444444444449E-2</v>
      </c>
      <c r="S94" s="43">
        <f>(SUM($R$9:R94)/$R$4)*100</f>
        <v>82.183330534504151</v>
      </c>
      <c r="T94" s="28" t="s">
        <v>6</v>
      </c>
      <c r="U94" s="28" t="s">
        <v>6</v>
      </c>
      <c r="V94" s="28" t="s">
        <v>6</v>
      </c>
      <c r="W94" s="28" t="s">
        <v>6</v>
      </c>
      <c r="X94" s="28" t="s">
        <v>6</v>
      </c>
      <c r="Y94" s="158">
        <v>3</v>
      </c>
      <c r="Z94" s="17"/>
      <c r="AA94" s="173">
        <f>P94/SUM($P$9:$P$111)</f>
        <v>1.4044943820224719E-2</v>
      </c>
      <c r="AB94" s="174">
        <f>Master_Data[[#This Row],[Imp. Level]]/SUMIF(Master_Data[Subject],Master_Data[[#This Row],[Subject]],Master_Data[Imp. Level])</f>
        <v>7.4626865671641784E-2</v>
      </c>
      <c r="AC94" s="157">
        <f>Master_Data[[#This Row],[Subjectwise weights]]*Master_Data[[#This Row],[Confidence Level]]</f>
        <v>0.22388059701492535</v>
      </c>
      <c r="AD94" s="274" t="str">
        <f>Master_Data[[#This Row],[Prac. Book]]</f>
        <v>U</v>
      </c>
      <c r="AE94" s="274" t="str">
        <f>Master_Data[[#This Row],[GARP EOC Ques.]]</f>
        <v>U</v>
      </c>
    </row>
    <row r="95" spans="2:31" ht="27" customHeight="1" x14ac:dyDescent="0.3">
      <c r="B95" s="3">
        <v>87</v>
      </c>
      <c r="C95" s="182" t="str">
        <f ca="1">IF(Master_Data[[#This Row],[Column1]]=0,"",IF(Master_Data[[#This Row],[Column1]]=1,"Current Week",CONCATENATE("Week ",Master_Data[[#This Row],[Column1]])))</f>
        <v>Week 26</v>
      </c>
      <c r="D95" s="3">
        <f ca="1">ROUNDUP(Master_Data[[#This Row],[Column2]]/Working!$C$8,0)</f>
        <v>26</v>
      </c>
      <c r="E95" s="151">
        <f>SUM($F$9:F95)</f>
        <v>7.0978703703703721</v>
      </c>
      <c r="F95" s="27">
        <f>IF(Master_Data[[#This Row],[Lectures]]="D","",Master_Data[[#This Row],[Duration (hh:mm)]])</f>
        <v>7.4201388888888886E-2</v>
      </c>
      <c r="G95" s="2" t="s">
        <v>186</v>
      </c>
      <c r="H95" s="2">
        <v>82</v>
      </c>
      <c r="I95" s="2" t="s">
        <v>96</v>
      </c>
      <c r="J95" s="45" t="s">
        <v>204</v>
      </c>
      <c r="K95" s="177">
        <v>6</v>
      </c>
      <c r="L95" s="152">
        <v>3</v>
      </c>
      <c r="M95" s="153">
        <v>1</v>
      </c>
      <c r="N95" s="153">
        <v>3</v>
      </c>
      <c r="O95" s="153">
        <v>3</v>
      </c>
      <c r="P95" s="153">
        <v>4</v>
      </c>
      <c r="Q95" s="154">
        <v>3</v>
      </c>
      <c r="R95" s="23">
        <v>7.4201388888888886E-2</v>
      </c>
      <c r="S95" s="43">
        <f>(SUM($R$9:R95)/$R$4)*100</f>
        <v>83.051554433616275</v>
      </c>
      <c r="T95" s="28" t="s">
        <v>6</v>
      </c>
      <c r="U95" s="28" t="s">
        <v>6</v>
      </c>
      <c r="V95" s="28" t="s">
        <v>6</v>
      </c>
      <c r="W95" s="28" t="s">
        <v>6</v>
      </c>
      <c r="X95" s="28" t="s">
        <v>6</v>
      </c>
      <c r="Y95" s="158">
        <v>2</v>
      </c>
      <c r="Z95" s="17"/>
      <c r="AA95" s="173">
        <f>P95/SUM($P$9:$P$111)</f>
        <v>1.1235955056179775E-2</v>
      </c>
      <c r="AB95" s="174">
        <f>Master_Data[[#This Row],[Imp. Level]]/SUMIF(Master_Data[Subject],Master_Data[[#This Row],[Subject]],Master_Data[Imp. Level])</f>
        <v>5.9701492537313432E-2</v>
      </c>
      <c r="AC95" s="157">
        <f>Master_Data[[#This Row],[Subjectwise weights]]*Master_Data[[#This Row],[Confidence Level]]</f>
        <v>0.11940298507462686</v>
      </c>
      <c r="AD95" s="274" t="str">
        <f>Master_Data[[#This Row],[Prac. Book]]</f>
        <v>U</v>
      </c>
      <c r="AE95" s="274" t="str">
        <f>Master_Data[[#This Row],[GARP EOC Ques.]]</f>
        <v>U</v>
      </c>
    </row>
    <row r="96" spans="2:31" ht="27" customHeight="1" x14ac:dyDescent="0.3">
      <c r="B96" s="3">
        <v>88</v>
      </c>
      <c r="C96" s="182" t="str">
        <f ca="1">IF(Master_Data[[#This Row],[Column1]]=0,"",IF(Master_Data[[#This Row],[Column1]]=1,"Current Week",CONCATENATE("Week ",Master_Data[[#This Row],[Column1]])))</f>
        <v>Week 26</v>
      </c>
      <c r="D96" s="3">
        <f ca="1">ROUNDUP(Master_Data[[#This Row],[Column2]]/Working!$C$8,0)</f>
        <v>26</v>
      </c>
      <c r="E96" s="151">
        <f>SUM($F$9:F96)</f>
        <v>7.150034722222224</v>
      </c>
      <c r="F96" s="27">
        <f>IF(Master_Data[[#This Row],[Lectures]]="D","",Master_Data[[#This Row],[Duration (hh:mm)]])</f>
        <v>5.2164351851851858E-2</v>
      </c>
      <c r="G96" s="2" t="s">
        <v>185</v>
      </c>
      <c r="H96" s="2">
        <v>49</v>
      </c>
      <c r="I96" s="2" t="s">
        <v>96</v>
      </c>
      <c r="J96" s="45" t="s">
        <v>224</v>
      </c>
      <c r="K96" s="177">
        <v>3</v>
      </c>
      <c r="L96" s="152">
        <v>1</v>
      </c>
      <c r="M96" s="153">
        <v>1</v>
      </c>
      <c r="N96" s="153">
        <v>2</v>
      </c>
      <c r="O96" s="153">
        <v>2</v>
      </c>
      <c r="P96" s="153">
        <v>2</v>
      </c>
      <c r="Q96" s="154">
        <v>2</v>
      </c>
      <c r="R96" s="23">
        <v>5.2164351851851858E-2</v>
      </c>
      <c r="S96" s="43">
        <f>(SUM($R$9:R96)/$R$4)*100</f>
        <v>83.661924908315783</v>
      </c>
      <c r="T96" s="28" t="s">
        <v>6</v>
      </c>
      <c r="U96" s="28" t="s">
        <v>6</v>
      </c>
      <c r="V96" s="28" t="s">
        <v>6</v>
      </c>
      <c r="W96" s="28" t="s">
        <v>6</v>
      </c>
      <c r="X96" s="28" t="s">
        <v>6</v>
      </c>
      <c r="Y96" s="158">
        <v>3</v>
      </c>
      <c r="Z96" s="17"/>
      <c r="AA96" s="173">
        <f>P96/SUM($P$9:$P$111)</f>
        <v>5.6179775280898875E-3</v>
      </c>
      <c r="AB96" s="174">
        <f>Master_Data[[#This Row],[Imp. Level]]/SUMIF(Master_Data[Subject],Master_Data[[#This Row],[Subject]],Master_Data[Imp. Level])</f>
        <v>2.7777777777777776E-2</v>
      </c>
      <c r="AC96" s="157">
        <f>Master_Data[[#This Row],[Subjectwise weights]]*Master_Data[[#This Row],[Confidence Level]]</f>
        <v>8.3333333333333329E-2</v>
      </c>
      <c r="AD96" s="274" t="str">
        <f>Master_Data[[#This Row],[Prac. Book]]</f>
        <v>U</v>
      </c>
      <c r="AE96" s="274" t="str">
        <f>Master_Data[[#This Row],[GARP EOC Ques.]]</f>
        <v>U</v>
      </c>
    </row>
    <row r="97" spans="2:31" ht="27" customHeight="1" x14ac:dyDescent="0.3">
      <c r="B97" s="3">
        <v>89</v>
      </c>
      <c r="C97" s="182" t="str">
        <f ca="1">IF(Master_Data[[#This Row],[Column1]]=0,"",IF(Master_Data[[#This Row],[Column1]]=1,"Current Week",CONCATENATE("Week ",Master_Data[[#This Row],[Column1]])))</f>
        <v>Week 26</v>
      </c>
      <c r="D97" s="3">
        <f ca="1">ROUNDUP(Master_Data[[#This Row],[Column2]]/Working!$C$8,0)</f>
        <v>26</v>
      </c>
      <c r="E97" s="151">
        <f>SUM($F$9:F97)</f>
        <v>7.2029050925925944</v>
      </c>
      <c r="F97" s="27">
        <f>IF(Master_Data[[#This Row],[Lectures]]="D","",Master_Data[[#This Row],[Duration (hh:mm)]])</f>
        <v>5.2870370370370373E-2</v>
      </c>
      <c r="G97" s="2" t="s">
        <v>185</v>
      </c>
      <c r="H97" s="2">
        <v>50</v>
      </c>
      <c r="I97" s="2" t="s">
        <v>96</v>
      </c>
      <c r="J97" s="45" t="s">
        <v>263</v>
      </c>
      <c r="K97" s="177">
        <v>2</v>
      </c>
      <c r="L97" s="152">
        <v>2</v>
      </c>
      <c r="M97" s="153">
        <v>1</v>
      </c>
      <c r="N97" s="153">
        <v>3</v>
      </c>
      <c r="O97" s="153">
        <v>2</v>
      </c>
      <c r="P97" s="153">
        <v>3</v>
      </c>
      <c r="Q97" s="154">
        <v>2</v>
      </c>
      <c r="R97" s="23">
        <v>5.2870370370370373E-2</v>
      </c>
      <c r="S97" s="43">
        <f>(SUM($R$9:R97)/$R$4)*100</f>
        <v>84.280556443356218</v>
      </c>
      <c r="T97" s="28" t="s">
        <v>6</v>
      </c>
      <c r="U97" s="28" t="s">
        <v>6</v>
      </c>
      <c r="V97" s="28" t="s">
        <v>6</v>
      </c>
      <c r="W97" s="28" t="s">
        <v>6</v>
      </c>
      <c r="X97" s="28" t="s">
        <v>6</v>
      </c>
      <c r="Y97" s="158">
        <v>3</v>
      </c>
      <c r="Z97" s="17"/>
      <c r="AA97" s="173">
        <f>P97/SUM($P$9:$P$111)</f>
        <v>8.4269662921348312E-3</v>
      </c>
      <c r="AB97" s="174">
        <f>Master_Data[[#This Row],[Imp. Level]]/SUMIF(Master_Data[Subject],Master_Data[[#This Row],[Subject]],Master_Data[Imp. Level])</f>
        <v>4.1666666666666664E-2</v>
      </c>
      <c r="AC97" s="157">
        <f>Master_Data[[#This Row],[Subjectwise weights]]*Master_Data[[#This Row],[Confidence Level]]</f>
        <v>0.125</v>
      </c>
      <c r="AD97" s="274" t="str">
        <f>Master_Data[[#This Row],[Prac. Book]]</f>
        <v>U</v>
      </c>
      <c r="AE97" s="274" t="str">
        <f>Master_Data[[#This Row],[GARP EOC Ques.]]</f>
        <v>U</v>
      </c>
    </row>
    <row r="98" spans="2:31" ht="27" customHeight="1" x14ac:dyDescent="0.3">
      <c r="B98" s="3">
        <v>90</v>
      </c>
      <c r="C98" s="182" t="str">
        <f ca="1">IF(Master_Data[[#This Row],[Column1]]=0,"",IF(Master_Data[[#This Row],[Column1]]=1,"Current Week",CONCATENATE("Week ",Master_Data[[#This Row],[Column1]])))</f>
        <v>Week 31</v>
      </c>
      <c r="D98" s="3">
        <f ca="1">ROUNDUP(Master_Data[[#This Row],[Column2]]/Working!$C$8,0)</f>
        <v>31</v>
      </c>
      <c r="E98" s="151">
        <f>SUM($F$9:F114)</f>
        <v>8.5463425925925947</v>
      </c>
      <c r="F98" s="27">
        <f>IF(Master_Data[[#This Row],[Lectures]]="D","",Master_Data[[#This Row],[Duration (hh:mm)]])</f>
        <v>0.1248611111111111</v>
      </c>
      <c r="G98" s="2" t="s">
        <v>205</v>
      </c>
      <c r="H98" s="2">
        <v>99</v>
      </c>
      <c r="I98" s="2" t="s">
        <v>96</v>
      </c>
      <c r="J98" s="45" t="s">
        <v>264</v>
      </c>
      <c r="K98" s="177">
        <v>4</v>
      </c>
      <c r="L98" s="152">
        <v>3</v>
      </c>
      <c r="M98" s="153">
        <v>1</v>
      </c>
      <c r="N98" s="153">
        <v>2</v>
      </c>
      <c r="O98" s="153">
        <v>3</v>
      </c>
      <c r="P98" s="153">
        <v>3</v>
      </c>
      <c r="Q98" s="154">
        <v>3</v>
      </c>
      <c r="R98" s="23">
        <v>0.1248611111111111</v>
      </c>
      <c r="S98" s="43">
        <f>(SUM($R$9:R98)/$R$4)*100</f>
        <v>85.741545278736311</v>
      </c>
      <c r="T98" s="28" t="s">
        <v>6</v>
      </c>
      <c r="U98" s="28" t="s">
        <v>6</v>
      </c>
      <c r="V98" s="28" t="s">
        <v>6</v>
      </c>
      <c r="W98" s="28" t="s">
        <v>6</v>
      </c>
      <c r="X98" s="28" t="s">
        <v>6</v>
      </c>
      <c r="Y98" s="158">
        <v>3</v>
      </c>
      <c r="Z98" s="17"/>
      <c r="AA98" s="173">
        <f>P98/SUM($P$9:$P$111)</f>
        <v>8.4269662921348312E-3</v>
      </c>
      <c r="AB98" s="174">
        <f>Master_Data[[#This Row],[Imp. Level]]/SUMIF(Master_Data[Subject],Master_Data[[#This Row],[Subject]],Master_Data[Imp. Level])</f>
        <v>0.1</v>
      </c>
      <c r="AC98" s="157">
        <f>Master_Data[[#This Row],[Subjectwise weights]]*Master_Data[[#This Row],[Confidence Level]]</f>
        <v>0.30000000000000004</v>
      </c>
      <c r="AD98" s="274" t="str">
        <f>Master_Data[[#This Row],[Prac. Book]]</f>
        <v>U</v>
      </c>
      <c r="AE98" s="274" t="str">
        <f>Master_Data[[#This Row],[GARP EOC Ques.]]</f>
        <v>U</v>
      </c>
    </row>
    <row r="99" spans="2:31" ht="27" customHeight="1" x14ac:dyDescent="0.3">
      <c r="B99" s="3">
        <v>91</v>
      </c>
      <c r="C99" s="182" t="str">
        <f ca="1">IF(Master_Data[[#This Row],[Column1]]=0,"",IF(Master_Data[[#This Row],[Column1]]=1,"Current Week",CONCATENATE("Week ",Master_Data[[#This Row],[Column1]])))</f>
        <v>Week 27</v>
      </c>
      <c r="D99" s="3">
        <f ca="1">ROUNDUP(Master_Data[[#This Row],[Column2]]/Working!$C$8,0)</f>
        <v>27</v>
      </c>
      <c r="E99" s="151">
        <f>SUM($F$9:F99)</f>
        <v>7.4277314814814837</v>
      </c>
      <c r="F99" s="27">
        <f>IF(Master_Data[[#This Row],[Lectures]]="D","",Master_Data[[#This Row],[Duration (hh:mm)]])</f>
        <v>9.9965277777777792E-2</v>
      </c>
      <c r="G99" s="2" t="s">
        <v>205</v>
      </c>
      <c r="H99" s="2">
        <v>100</v>
      </c>
      <c r="I99" s="2" t="s">
        <v>96</v>
      </c>
      <c r="J99" s="271" t="s">
        <v>265</v>
      </c>
      <c r="K99" s="177">
        <v>6</v>
      </c>
      <c r="L99" s="152">
        <v>3</v>
      </c>
      <c r="M99" s="153">
        <v>1</v>
      </c>
      <c r="N99" s="153">
        <v>2</v>
      </c>
      <c r="O99" s="153">
        <v>3</v>
      </c>
      <c r="P99" s="153">
        <v>3</v>
      </c>
      <c r="Q99" s="154">
        <v>3</v>
      </c>
      <c r="R99" s="23">
        <v>9.9965277777777792E-2</v>
      </c>
      <c r="S99" s="43">
        <f>(SUM($R$9:R99)/$R$4)*100</f>
        <v>86.911230166683822</v>
      </c>
      <c r="T99" s="28" t="s">
        <v>6</v>
      </c>
      <c r="U99" s="28" t="s">
        <v>6</v>
      </c>
      <c r="V99" s="28" t="s">
        <v>6</v>
      </c>
      <c r="W99" s="28" t="s">
        <v>6</v>
      </c>
      <c r="X99" s="28" t="s">
        <v>6</v>
      </c>
      <c r="Y99" s="158">
        <v>3</v>
      </c>
      <c r="Z99" s="17"/>
      <c r="AA99" s="173">
        <f>P99/SUM($P$9:$P$111)</f>
        <v>8.4269662921348312E-3</v>
      </c>
      <c r="AB99" s="174">
        <f>Master_Data[[#This Row],[Imp. Level]]/SUMIF(Master_Data[Subject],Master_Data[[#This Row],[Subject]],Master_Data[Imp. Level])</f>
        <v>0.1</v>
      </c>
      <c r="AC99" s="157">
        <f>Master_Data[[#This Row],[Subjectwise weights]]*Master_Data[[#This Row],[Confidence Level]]</f>
        <v>0.30000000000000004</v>
      </c>
      <c r="AD99" s="274" t="str">
        <f>Master_Data[[#This Row],[Prac. Book]]</f>
        <v>U</v>
      </c>
      <c r="AE99" s="274" t="str">
        <f>Master_Data[[#This Row],[GARP EOC Ques.]]</f>
        <v>U</v>
      </c>
    </row>
    <row r="100" spans="2:31" ht="27" customHeight="1" x14ac:dyDescent="0.3">
      <c r="B100" s="3">
        <v>92</v>
      </c>
      <c r="C100" s="182" t="str">
        <f ca="1">IF(Master_Data[[#This Row],[Column1]]=0,"",IF(Master_Data[[#This Row],[Column1]]=1,"Current Week",CONCATENATE("Week ",Master_Data[[#This Row],[Column1]])))</f>
        <v>Week 27</v>
      </c>
      <c r="D100" s="3">
        <f ca="1">ROUNDUP(Master_Data[[#This Row],[Column2]]/Working!$C$8,0)</f>
        <v>27</v>
      </c>
      <c r="E100" s="151">
        <f>SUM($F$9:F100)</f>
        <v>7.4774768518518542</v>
      </c>
      <c r="F100" s="27">
        <f>IF(Master_Data[[#This Row],[Lectures]]="D","",Master_Data[[#This Row],[Duration (hh:mm)]])</f>
        <v>4.9745370370370377E-2</v>
      </c>
      <c r="G100" s="2" t="s">
        <v>205</v>
      </c>
      <c r="H100" s="2">
        <v>101</v>
      </c>
      <c r="I100" s="2" t="s">
        <v>95</v>
      </c>
      <c r="J100" s="271" t="s">
        <v>266</v>
      </c>
      <c r="K100" s="177">
        <v>4</v>
      </c>
      <c r="L100" s="152">
        <v>3</v>
      </c>
      <c r="M100" s="153">
        <v>1</v>
      </c>
      <c r="N100" s="153">
        <v>2</v>
      </c>
      <c r="O100" s="153">
        <v>2</v>
      </c>
      <c r="P100" s="153">
        <v>3</v>
      </c>
      <c r="Q100" s="154">
        <v>2</v>
      </c>
      <c r="R100" s="23">
        <v>4.9745370370370377E-2</v>
      </c>
      <c r="S100" s="43">
        <f>(SUM($R$9:R100)/$R$4)*100</f>
        <v>87.49329635267415</v>
      </c>
      <c r="T100" s="28" t="s">
        <v>6</v>
      </c>
      <c r="U100" s="28" t="s">
        <v>6</v>
      </c>
      <c r="V100" s="28" t="s">
        <v>6</v>
      </c>
      <c r="W100" s="28" t="s">
        <v>6</v>
      </c>
      <c r="X100" s="28" t="s">
        <v>6</v>
      </c>
      <c r="Y100" s="158">
        <v>3</v>
      </c>
      <c r="Z100" s="17"/>
      <c r="AA100" s="173">
        <f>P100/SUM($P$9:$P$111)</f>
        <v>8.4269662921348312E-3</v>
      </c>
      <c r="AB100" s="174">
        <f>Master_Data[[#This Row],[Imp. Level]]/SUMIF(Master_Data[Subject],Master_Data[[#This Row],[Subject]],Master_Data[Imp. Level])</f>
        <v>0.1</v>
      </c>
      <c r="AC100" s="157">
        <f>Master_Data[[#This Row],[Subjectwise weights]]*Master_Data[[#This Row],[Confidence Level]]</f>
        <v>0.30000000000000004</v>
      </c>
      <c r="AD100" s="274" t="str">
        <f>Master_Data[[#This Row],[Prac. Book]]</f>
        <v>U</v>
      </c>
      <c r="AE100" s="274" t="str">
        <f>Master_Data[[#This Row],[GARP EOC Ques.]]</f>
        <v>U</v>
      </c>
    </row>
    <row r="101" spans="2:31" ht="27" customHeight="1" x14ac:dyDescent="0.3">
      <c r="B101" s="3">
        <v>93</v>
      </c>
      <c r="C101" s="182" t="str">
        <f ca="1">IF(Master_Data[[#This Row],[Column1]]=0,"",IF(Master_Data[[#This Row],[Column1]]=1,"Current Week",CONCATENATE("Week ",Master_Data[[#This Row],[Column1]])))</f>
        <v>Week 27</v>
      </c>
      <c r="D101" s="3">
        <f ca="1">ROUNDUP(Master_Data[[#This Row],[Column2]]/Working!$C$8,0)</f>
        <v>27</v>
      </c>
      <c r="E101" s="151">
        <f>SUM($F$9:F101)</f>
        <v>7.5414930555555575</v>
      </c>
      <c r="F101" s="27">
        <f>IF(Master_Data[[#This Row],[Lectures]]="D","",Master_Data[[#This Row],[Duration (hh:mm)]])</f>
        <v>6.40162037037037E-2</v>
      </c>
      <c r="G101" s="2" t="s">
        <v>185</v>
      </c>
      <c r="H101" s="2">
        <v>40</v>
      </c>
      <c r="I101" s="2" t="s">
        <v>96</v>
      </c>
      <c r="J101" s="45" t="s">
        <v>217</v>
      </c>
      <c r="K101" s="177">
        <v>4</v>
      </c>
      <c r="L101" s="152">
        <v>4</v>
      </c>
      <c r="M101" s="153">
        <v>1</v>
      </c>
      <c r="N101" s="153">
        <v>2</v>
      </c>
      <c r="O101" s="153">
        <v>3</v>
      </c>
      <c r="P101" s="153">
        <v>2</v>
      </c>
      <c r="Q101" s="154">
        <v>3</v>
      </c>
      <c r="R101" s="23">
        <v>6.40162037037037E-2</v>
      </c>
      <c r="S101" s="43">
        <f>(SUM($R$9:R101)/$R$4)*100</f>
        <v>88.24234429932666</v>
      </c>
      <c r="T101" s="28" t="s">
        <v>6</v>
      </c>
      <c r="U101" s="28" t="s">
        <v>6</v>
      </c>
      <c r="V101" s="28" t="s">
        <v>6</v>
      </c>
      <c r="W101" s="28" t="s">
        <v>6</v>
      </c>
      <c r="X101" s="28" t="s">
        <v>6</v>
      </c>
      <c r="Y101" s="158">
        <v>3</v>
      </c>
      <c r="Z101" s="17"/>
      <c r="AA101" s="173">
        <f>P101/SUM($P$9:$P$111)</f>
        <v>5.6179775280898875E-3</v>
      </c>
      <c r="AB101" s="174">
        <f>Master_Data[[#This Row],[Imp. Level]]/SUMIF(Master_Data[Subject],Master_Data[[#This Row],[Subject]],Master_Data[Imp. Level])</f>
        <v>2.7777777777777776E-2</v>
      </c>
      <c r="AC101" s="157">
        <f>Master_Data[[#This Row],[Subjectwise weights]]*Master_Data[[#This Row],[Confidence Level]]</f>
        <v>8.3333333333333329E-2</v>
      </c>
      <c r="AD101" s="274" t="str">
        <f>Master_Data[[#This Row],[Prac. Book]]</f>
        <v>U</v>
      </c>
      <c r="AE101" s="274" t="str">
        <f>Master_Data[[#This Row],[GARP EOC Ques.]]</f>
        <v>U</v>
      </c>
    </row>
    <row r="102" spans="2:31" ht="27" customHeight="1" x14ac:dyDescent="0.3">
      <c r="B102" s="3">
        <v>94</v>
      </c>
      <c r="C102" s="182" t="str">
        <f ca="1">IF(Master_Data[[#This Row],[Column1]]=0,"",IF(Master_Data[[#This Row],[Column1]]=1,"Current Week",CONCATENATE("Week ",Master_Data[[#This Row],[Column1]])))</f>
        <v>Week 27</v>
      </c>
      <c r="D102" s="3">
        <f ca="1">ROUNDUP(Master_Data[[#This Row],[Column2]]/Working!$C$8,0)</f>
        <v>27</v>
      </c>
      <c r="E102" s="151">
        <f>SUM($F$9:F102)</f>
        <v>7.6196643518518536</v>
      </c>
      <c r="F102" s="27">
        <f>IF(Master_Data[[#This Row],[Lectures]]="D","",Master_Data[[#This Row],[Duration (hh:mm)]])</f>
        <v>7.8171296296296308E-2</v>
      </c>
      <c r="G102" s="2" t="s">
        <v>185</v>
      </c>
      <c r="H102" s="2">
        <v>47</v>
      </c>
      <c r="I102" s="2" t="s">
        <v>96</v>
      </c>
      <c r="J102" s="45" t="s">
        <v>267</v>
      </c>
      <c r="K102" s="177">
        <v>5</v>
      </c>
      <c r="L102" s="152">
        <v>3</v>
      </c>
      <c r="M102" s="153">
        <v>1</v>
      </c>
      <c r="N102" s="153">
        <v>2</v>
      </c>
      <c r="O102" s="153">
        <v>2</v>
      </c>
      <c r="P102" s="153">
        <v>2</v>
      </c>
      <c r="Q102" s="154">
        <v>3</v>
      </c>
      <c r="R102" s="23">
        <v>7.8171296296296308E-2</v>
      </c>
      <c r="S102" s="43">
        <f>(SUM($R$9:R102)/$R$4)*100</f>
        <v>89.157019734454309</v>
      </c>
      <c r="T102" s="28" t="s">
        <v>6</v>
      </c>
      <c r="U102" s="28" t="s">
        <v>6</v>
      </c>
      <c r="V102" s="28" t="s">
        <v>6</v>
      </c>
      <c r="W102" s="28" t="s">
        <v>6</v>
      </c>
      <c r="X102" s="28" t="s">
        <v>6</v>
      </c>
      <c r="Y102" s="158">
        <v>2</v>
      </c>
      <c r="Z102" s="17"/>
      <c r="AA102" s="173">
        <f>P102/SUM($P$9:$P$111)</f>
        <v>5.6179775280898875E-3</v>
      </c>
      <c r="AB102" s="174">
        <f>Master_Data[[#This Row],[Imp. Level]]/SUMIF(Master_Data[Subject],Master_Data[[#This Row],[Subject]],Master_Data[Imp. Level])</f>
        <v>2.7777777777777776E-2</v>
      </c>
      <c r="AC102" s="157">
        <f>Master_Data[[#This Row],[Subjectwise weights]]*Master_Data[[#This Row],[Confidence Level]]</f>
        <v>5.5555555555555552E-2</v>
      </c>
      <c r="AD102" s="274" t="str">
        <f>Master_Data[[#This Row],[Prac. Book]]</f>
        <v>U</v>
      </c>
      <c r="AE102" s="274" t="str">
        <f>Master_Data[[#This Row],[GARP EOC Ques.]]</f>
        <v>U</v>
      </c>
    </row>
    <row r="103" spans="2:31" ht="27" customHeight="1" x14ac:dyDescent="0.3">
      <c r="B103" s="3">
        <v>95</v>
      </c>
      <c r="C103" s="182" t="str">
        <f ca="1">IF(Master_Data[[#This Row],[Column1]]=0,"",IF(Master_Data[[#This Row],[Column1]]=1,"Current Week",CONCATENATE("Week ",Master_Data[[#This Row],[Column1]])))</f>
        <v>Week 27</v>
      </c>
      <c r="D103" s="3">
        <f ca="1">ROUNDUP(Master_Data[[#This Row],[Column2]]/Working!$C$8,0)</f>
        <v>27</v>
      </c>
      <c r="E103" s="151">
        <f>SUM($F$9:F103)</f>
        <v>7.6481250000000021</v>
      </c>
      <c r="F103" s="27">
        <f>IF(Master_Data[[#This Row],[Lectures]]="D","",Master_Data[[#This Row],[Duration (hh:mm)]])</f>
        <v>2.8460648148148148E-2</v>
      </c>
      <c r="G103" s="2" t="s">
        <v>185</v>
      </c>
      <c r="H103" s="2">
        <v>48</v>
      </c>
      <c r="I103" s="2" t="s">
        <v>96</v>
      </c>
      <c r="J103" s="45" t="s">
        <v>268</v>
      </c>
      <c r="K103" s="177">
        <v>2</v>
      </c>
      <c r="L103" s="152">
        <v>2</v>
      </c>
      <c r="M103" s="153">
        <v>1</v>
      </c>
      <c r="N103" s="153">
        <v>2</v>
      </c>
      <c r="O103" s="153">
        <v>2</v>
      </c>
      <c r="P103" s="153">
        <v>2</v>
      </c>
      <c r="Q103" s="154">
        <v>2</v>
      </c>
      <c r="R103" s="23">
        <v>2.8460648148148148E-2</v>
      </c>
      <c r="S103" s="43">
        <f>(SUM($R$9:R103)/$R$4)*100</f>
        <v>89.490035265247755</v>
      </c>
      <c r="T103" s="28" t="s">
        <v>6</v>
      </c>
      <c r="U103" s="28" t="s">
        <v>6</v>
      </c>
      <c r="V103" s="28" t="s">
        <v>6</v>
      </c>
      <c r="W103" s="28" t="s">
        <v>6</v>
      </c>
      <c r="X103" s="28" t="s">
        <v>6</v>
      </c>
      <c r="Y103" s="158">
        <v>3</v>
      </c>
      <c r="Z103" s="17"/>
      <c r="AA103" s="173">
        <f>P103/SUM($P$9:$P$111)</f>
        <v>5.6179775280898875E-3</v>
      </c>
      <c r="AB103" s="174">
        <f>Master_Data[[#This Row],[Imp. Level]]/SUMIF(Master_Data[Subject],Master_Data[[#This Row],[Subject]],Master_Data[Imp. Level])</f>
        <v>2.7777777777777776E-2</v>
      </c>
      <c r="AC103" s="157">
        <f>Master_Data[[#This Row],[Subjectwise weights]]*Master_Data[[#This Row],[Confidence Level]]</f>
        <v>8.3333333333333329E-2</v>
      </c>
      <c r="AD103" s="274" t="str">
        <f>Master_Data[[#This Row],[Prac. Book]]</f>
        <v>U</v>
      </c>
      <c r="AE103" s="274" t="str">
        <f>Master_Data[[#This Row],[GARP EOC Ques.]]</f>
        <v>U</v>
      </c>
    </row>
    <row r="104" spans="2:31" ht="27.5" customHeight="1" x14ac:dyDescent="0.3">
      <c r="B104" s="3">
        <v>96</v>
      </c>
      <c r="C104" s="182" t="str">
        <f ca="1">IF(Master_Data[[#This Row],[Column1]]=0,"",IF(Master_Data[[#This Row],[Column1]]=1,"Current Week",CONCATENATE("Week ",Master_Data[[#This Row],[Column1]])))</f>
        <v>Week 31</v>
      </c>
      <c r="D104" s="3">
        <f ca="1">ROUNDUP(Master_Data[[#This Row],[Column2]]/Working!$C$8,0)</f>
        <v>31</v>
      </c>
      <c r="E104" s="151">
        <f>SUM($F$9:F111)</f>
        <v>8.5463425925925947</v>
      </c>
      <c r="F104" s="27">
        <f>IF(Master_Data[[#This Row],[Lectures]]="D","",Master_Data[[#This Row],[Duration (hh:mm)]])</f>
        <v>2.3217592592592592E-2</v>
      </c>
      <c r="G104" s="2" t="s">
        <v>185</v>
      </c>
      <c r="H104" s="2">
        <v>53</v>
      </c>
      <c r="I104" s="2" t="s">
        <v>96</v>
      </c>
      <c r="J104" s="45" t="s">
        <v>269</v>
      </c>
      <c r="K104" s="177">
        <v>2</v>
      </c>
      <c r="L104" s="152">
        <v>2</v>
      </c>
      <c r="M104" s="153">
        <v>1</v>
      </c>
      <c r="N104" s="153">
        <v>3</v>
      </c>
      <c r="O104" s="153">
        <v>2</v>
      </c>
      <c r="P104" s="153">
        <v>2</v>
      </c>
      <c r="Q104" s="154">
        <v>2</v>
      </c>
      <c r="R104" s="23">
        <v>2.3217592592592592E-2</v>
      </c>
      <c r="S104" s="43">
        <f>(SUM($R$9:R104)/$R$4)*100</f>
        <v>89.761702265968225</v>
      </c>
      <c r="T104" s="28" t="s">
        <v>6</v>
      </c>
      <c r="U104" s="28" t="s">
        <v>6</v>
      </c>
      <c r="V104" s="28" t="s">
        <v>6</v>
      </c>
      <c r="W104" s="28" t="s">
        <v>6</v>
      </c>
      <c r="X104" s="28" t="s">
        <v>6</v>
      </c>
      <c r="Y104" s="158">
        <v>3</v>
      </c>
      <c r="Z104" s="17"/>
      <c r="AA104" s="173">
        <f>P104/SUM($P$9:$P$111)</f>
        <v>5.6179775280898875E-3</v>
      </c>
      <c r="AB104" s="174">
        <f>Master_Data[[#This Row],[Imp. Level]]/SUMIF(Master_Data[Subject],Master_Data[[#This Row],[Subject]],Master_Data[Imp. Level])</f>
        <v>2.7777777777777776E-2</v>
      </c>
      <c r="AC104" s="157">
        <f>Master_Data[[#This Row],[Subjectwise weights]]*Master_Data[[#This Row],[Confidence Level]]</f>
        <v>8.3333333333333329E-2</v>
      </c>
      <c r="AD104" s="274" t="str">
        <f>Master_Data[[#This Row],[Prac. Book]]</f>
        <v>U</v>
      </c>
      <c r="AE104" s="274" t="str">
        <f>Master_Data[[#This Row],[GARP EOC Ques.]]</f>
        <v>U</v>
      </c>
    </row>
    <row r="105" spans="2:31" ht="27.5" customHeight="1" x14ac:dyDescent="0.3">
      <c r="B105" s="3">
        <v>97</v>
      </c>
      <c r="C105" s="182" t="str">
        <f ca="1">IF(Master_Data[[#This Row],[Column1]]=0,"",IF(Master_Data[[#This Row],[Column1]]=1,"Current Week",CONCATENATE("Week ",Master_Data[[#This Row],[Column1]])))</f>
        <v>Week 28</v>
      </c>
      <c r="D105" s="3">
        <f ca="1">ROUNDUP(Master_Data[[#This Row],[Column2]]/Working!$C$8,0)</f>
        <v>28</v>
      </c>
      <c r="E105" s="151">
        <f>SUM($F$9:F105)</f>
        <v>7.7963425925925947</v>
      </c>
      <c r="F105" s="27">
        <f>IF(Master_Data[[#This Row],[Lectures]]="D","",Master_Data[[#This Row],[Duration (hh:mm)]])</f>
        <v>0.125</v>
      </c>
      <c r="G105" s="2" t="s">
        <v>205</v>
      </c>
      <c r="H105" s="2">
        <v>94</v>
      </c>
      <c r="I105" s="2" t="s">
        <v>97</v>
      </c>
      <c r="J105" s="45" t="s">
        <v>270</v>
      </c>
      <c r="K105" s="177">
        <v>6</v>
      </c>
      <c r="L105" s="152">
        <v>4</v>
      </c>
      <c r="M105" s="153">
        <v>1</v>
      </c>
      <c r="N105" s="153">
        <v>3</v>
      </c>
      <c r="O105" s="153">
        <v>2</v>
      </c>
      <c r="P105" s="153">
        <v>3</v>
      </c>
      <c r="Q105" s="154">
        <v>3</v>
      </c>
      <c r="R105" s="23">
        <v>0.125</v>
      </c>
      <c r="S105" s="43">
        <f>(SUM($R$9:R105)/$R$4)*100</f>
        <v>91.224316227972764</v>
      </c>
      <c r="T105" s="28" t="s">
        <v>6</v>
      </c>
      <c r="U105" s="28" t="s">
        <v>6</v>
      </c>
      <c r="V105" s="28" t="s">
        <v>6</v>
      </c>
      <c r="W105" s="28" t="s">
        <v>6</v>
      </c>
      <c r="X105" s="28" t="s">
        <v>6</v>
      </c>
      <c r="Y105" s="158">
        <v>3</v>
      </c>
      <c r="Z105" s="17"/>
      <c r="AA105" s="173">
        <f>P105/SUM($P$9:$P$111)</f>
        <v>8.4269662921348312E-3</v>
      </c>
      <c r="AB105" s="174">
        <f>Master_Data[[#This Row],[Imp. Level]]/SUMIF(Master_Data[Subject],Master_Data[[#This Row],[Subject]],Master_Data[Imp. Level])</f>
        <v>0.1</v>
      </c>
      <c r="AC105" s="157">
        <f>Master_Data[[#This Row],[Subjectwise weights]]*Master_Data[[#This Row],[Confidence Level]]</f>
        <v>0.30000000000000004</v>
      </c>
      <c r="AD105" s="274" t="str">
        <f>Master_Data[[#This Row],[Prac. Book]]</f>
        <v>U</v>
      </c>
      <c r="AE105" s="274" t="str">
        <f>Master_Data[[#This Row],[GARP EOC Ques.]]</f>
        <v>U</v>
      </c>
    </row>
    <row r="106" spans="2:31" ht="27.5" customHeight="1" x14ac:dyDescent="0.3">
      <c r="B106" s="3">
        <v>98</v>
      </c>
      <c r="C106" s="182" t="str">
        <f ca="1">IF(Master_Data[[#This Row],[Column1]]=0,"",IF(Master_Data[[#This Row],[Column1]]=1,"Current Week",CONCATENATE("Week ",Master_Data[[#This Row],[Column1]])))</f>
        <v>Week 28</v>
      </c>
      <c r="D106" s="3">
        <f ca="1">ROUNDUP(Master_Data[[#This Row],[Column2]]/Working!$C$8,0)</f>
        <v>28</v>
      </c>
      <c r="E106" s="151">
        <f>SUM($F$9:F106)</f>
        <v>7.9213425925925947</v>
      </c>
      <c r="F106" s="27">
        <f>IF(Master_Data[[#This Row],[Lectures]]="D","",Master_Data[[#This Row],[Duration (hh:mm)]])</f>
        <v>0.125</v>
      </c>
      <c r="G106" s="2" t="s">
        <v>205</v>
      </c>
      <c r="H106" s="2">
        <v>95</v>
      </c>
      <c r="I106" s="2" t="s">
        <v>97</v>
      </c>
      <c r="J106" s="45" t="s">
        <v>271</v>
      </c>
      <c r="K106" s="177">
        <v>4</v>
      </c>
      <c r="L106" s="152">
        <v>3</v>
      </c>
      <c r="M106" s="153">
        <v>1</v>
      </c>
      <c r="N106" s="153">
        <v>3</v>
      </c>
      <c r="O106" s="153">
        <v>2</v>
      </c>
      <c r="P106" s="153">
        <v>3</v>
      </c>
      <c r="Q106" s="154">
        <v>2</v>
      </c>
      <c r="R106" s="23">
        <v>0.125</v>
      </c>
      <c r="S106" s="43">
        <f>(SUM($R$9:R106)/$R$4)*100</f>
        <v>92.686930189977303</v>
      </c>
      <c r="T106" s="28" t="s">
        <v>6</v>
      </c>
      <c r="U106" s="28" t="s">
        <v>6</v>
      </c>
      <c r="V106" s="28" t="s">
        <v>6</v>
      </c>
      <c r="W106" s="28" t="s">
        <v>6</v>
      </c>
      <c r="X106" s="28" t="s">
        <v>6</v>
      </c>
      <c r="Y106" s="158">
        <v>2</v>
      </c>
      <c r="Z106" s="17"/>
      <c r="AA106" s="173">
        <f>P106/SUM($P$9:$P$111)</f>
        <v>8.4269662921348312E-3</v>
      </c>
      <c r="AB106" s="174">
        <f>Master_Data[[#This Row],[Imp. Level]]/SUMIF(Master_Data[Subject],Master_Data[[#This Row],[Subject]],Master_Data[Imp. Level])</f>
        <v>0.1</v>
      </c>
      <c r="AC106" s="157">
        <f>Master_Data[[#This Row],[Subjectwise weights]]*Master_Data[[#This Row],[Confidence Level]]</f>
        <v>0.2</v>
      </c>
      <c r="AD106" s="274" t="str">
        <f>Master_Data[[#This Row],[Prac. Book]]</f>
        <v>U</v>
      </c>
      <c r="AE106" s="274" t="str">
        <f>Master_Data[[#This Row],[GARP EOC Ques.]]</f>
        <v>U</v>
      </c>
    </row>
    <row r="107" spans="2:31" ht="27.5" customHeight="1" x14ac:dyDescent="0.3">
      <c r="B107" s="3">
        <v>99</v>
      </c>
      <c r="C107" s="182" t="str">
        <f ca="1">IF(Master_Data[[#This Row],[Column1]]=0,"",IF(Master_Data[[#This Row],[Column1]]=1,"Current Week",CONCATENATE("Week ",Master_Data[[#This Row],[Column1]])))</f>
        <v>Week 29</v>
      </c>
      <c r="D107" s="3">
        <f ca="1">ROUNDUP(Master_Data[[#This Row],[Column2]]/Working!$C$8,0)</f>
        <v>29</v>
      </c>
      <c r="E107" s="151">
        <f>SUM($F$9:F107)</f>
        <v>8.0463425925925947</v>
      </c>
      <c r="F107" s="27">
        <f>IF(Master_Data[[#This Row],[Lectures]]="D","",Master_Data[[#This Row],[Duration (hh:mm)]])</f>
        <v>0.125</v>
      </c>
      <c r="G107" s="2" t="s">
        <v>205</v>
      </c>
      <c r="H107" s="2">
        <v>96</v>
      </c>
      <c r="I107" s="2" t="s">
        <v>97</v>
      </c>
      <c r="J107" s="45" t="s">
        <v>272</v>
      </c>
      <c r="K107" s="177">
        <v>4</v>
      </c>
      <c r="L107" s="152">
        <v>3</v>
      </c>
      <c r="M107" s="153">
        <v>1</v>
      </c>
      <c r="N107" s="153">
        <v>3</v>
      </c>
      <c r="O107" s="153">
        <v>2</v>
      </c>
      <c r="P107" s="153">
        <v>3</v>
      </c>
      <c r="Q107" s="154">
        <v>3</v>
      </c>
      <c r="R107" s="23">
        <v>0.125</v>
      </c>
      <c r="S107" s="43">
        <f>(SUM($R$9:R107)/$R$4)*100</f>
        <v>94.149544151981843</v>
      </c>
      <c r="T107" s="28" t="s">
        <v>6</v>
      </c>
      <c r="U107" s="28" t="s">
        <v>6</v>
      </c>
      <c r="V107" s="28" t="s">
        <v>6</v>
      </c>
      <c r="W107" s="28" t="s">
        <v>6</v>
      </c>
      <c r="X107" s="28" t="s">
        <v>6</v>
      </c>
      <c r="Y107" s="158">
        <v>3</v>
      </c>
      <c r="Z107" s="17"/>
      <c r="AA107" s="173">
        <f>P107/SUM($P$9:$P$111)</f>
        <v>8.4269662921348312E-3</v>
      </c>
      <c r="AB107" s="174">
        <f>Master_Data[[#This Row],[Imp. Level]]/SUMIF(Master_Data[Subject],Master_Data[[#This Row],[Subject]],Master_Data[Imp. Level])</f>
        <v>0.1</v>
      </c>
      <c r="AC107" s="157">
        <f>Master_Data[[#This Row],[Subjectwise weights]]*Master_Data[[#This Row],[Confidence Level]]</f>
        <v>0.30000000000000004</v>
      </c>
      <c r="AD107" s="274" t="str">
        <f>Master_Data[[#This Row],[Prac. Book]]</f>
        <v>U</v>
      </c>
      <c r="AE107" s="274" t="str">
        <f>Master_Data[[#This Row],[GARP EOC Ques.]]</f>
        <v>U</v>
      </c>
    </row>
    <row r="108" spans="2:31" ht="27.5" customHeight="1" x14ac:dyDescent="0.3">
      <c r="B108" s="3">
        <v>100</v>
      </c>
      <c r="C108" s="182" t="str">
        <f ca="1">IF(Master_Data[[#This Row],[Column1]]=0,"",IF(Master_Data[[#This Row],[Column1]]=1,"Current Week",CONCATENATE("Week ",Master_Data[[#This Row],[Column1]])))</f>
        <v>Week 29</v>
      </c>
      <c r="D108" s="3">
        <f ca="1">ROUNDUP(Master_Data[[#This Row],[Column2]]/Working!$C$8,0)</f>
        <v>29</v>
      </c>
      <c r="E108" s="151">
        <f>SUM($F$9:F108)</f>
        <v>8.1713425925925947</v>
      </c>
      <c r="F108" s="27">
        <f>IF(Master_Data[[#This Row],[Lectures]]="D","",Master_Data[[#This Row],[Duration (hh:mm)]])</f>
        <v>0.125</v>
      </c>
      <c r="G108" s="2" t="s">
        <v>205</v>
      </c>
      <c r="H108" s="2">
        <v>97</v>
      </c>
      <c r="I108" s="2" t="s">
        <v>97</v>
      </c>
      <c r="J108" s="45" t="s">
        <v>273</v>
      </c>
      <c r="K108" s="177">
        <v>5</v>
      </c>
      <c r="L108" s="152">
        <v>3</v>
      </c>
      <c r="M108" s="153">
        <v>1</v>
      </c>
      <c r="N108" s="153">
        <v>2</v>
      </c>
      <c r="O108" s="153">
        <v>2</v>
      </c>
      <c r="P108" s="153">
        <v>3</v>
      </c>
      <c r="Q108" s="154">
        <v>3</v>
      </c>
      <c r="R108" s="23">
        <v>0.125</v>
      </c>
      <c r="S108" s="43">
        <f>(SUM($R$9:R108)/$R$4)*100</f>
        <v>95.612158113986382</v>
      </c>
      <c r="T108" s="28" t="s">
        <v>6</v>
      </c>
      <c r="U108" s="28" t="s">
        <v>6</v>
      </c>
      <c r="V108" s="28" t="s">
        <v>6</v>
      </c>
      <c r="W108" s="28" t="s">
        <v>6</v>
      </c>
      <c r="X108" s="28" t="s">
        <v>6</v>
      </c>
      <c r="Y108" s="158">
        <v>2</v>
      </c>
      <c r="Z108" s="17"/>
      <c r="AA108" s="173">
        <f>P108/SUM($P$9:$P$111)</f>
        <v>8.4269662921348312E-3</v>
      </c>
      <c r="AB108" s="174">
        <f>Master_Data[[#This Row],[Imp. Level]]/SUMIF(Master_Data[Subject],Master_Data[[#This Row],[Subject]],Master_Data[Imp. Level])</f>
        <v>0.1</v>
      </c>
      <c r="AC108" s="157">
        <f>Master_Data[[#This Row],[Subjectwise weights]]*Master_Data[[#This Row],[Confidence Level]]</f>
        <v>0.2</v>
      </c>
      <c r="AD108" s="274" t="str">
        <f>Master_Data[[#This Row],[Prac. Book]]</f>
        <v>U</v>
      </c>
      <c r="AE108" s="274" t="str">
        <f>Master_Data[[#This Row],[GARP EOC Ques.]]</f>
        <v>U</v>
      </c>
    </row>
    <row r="109" spans="2:31" ht="27.5" customHeight="1" x14ac:dyDescent="0.3">
      <c r="B109" s="3">
        <v>101</v>
      </c>
      <c r="C109" s="182" t="str">
        <f ca="1">IF(Master_Data[[#This Row],[Column1]]=0,"",IF(Master_Data[[#This Row],[Column1]]=1,"Current Week",CONCATENATE("Week ",Master_Data[[#This Row],[Column1]])))</f>
        <v>Week 30</v>
      </c>
      <c r="D109" s="3">
        <f ca="1">ROUNDUP(Master_Data[[#This Row],[Column2]]/Working!$C$8,0)</f>
        <v>30</v>
      </c>
      <c r="E109" s="151">
        <f>SUM($F$9:F109)</f>
        <v>8.2963425925925947</v>
      </c>
      <c r="F109" s="27">
        <f>IF(Master_Data[[#This Row],[Lectures]]="D","",Master_Data[[#This Row],[Duration (hh:mm)]])</f>
        <v>0.125</v>
      </c>
      <c r="G109" s="2" t="s">
        <v>205</v>
      </c>
      <c r="H109" s="2">
        <v>98</v>
      </c>
      <c r="I109" s="2" t="s">
        <v>97</v>
      </c>
      <c r="J109" s="45" t="s">
        <v>274</v>
      </c>
      <c r="K109" s="177">
        <v>5</v>
      </c>
      <c r="L109" s="152">
        <v>3</v>
      </c>
      <c r="M109" s="153">
        <v>1</v>
      </c>
      <c r="N109" s="153">
        <v>3</v>
      </c>
      <c r="O109" s="153">
        <v>2</v>
      </c>
      <c r="P109" s="153">
        <v>3</v>
      </c>
      <c r="Q109" s="154">
        <v>3</v>
      </c>
      <c r="R109" s="23">
        <v>0.125</v>
      </c>
      <c r="S109" s="43">
        <f>(SUM($R$9:R109)/$R$4)*100</f>
        <v>97.074772075990921</v>
      </c>
      <c r="T109" s="28" t="s">
        <v>6</v>
      </c>
      <c r="U109" s="28" t="s">
        <v>6</v>
      </c>
      <c r="V109" s="28" t="s">
        <v>6</v>
      </c>
      <c r="W109" s="28" t="s">
        <v>6</v>
      </c>
      <c r="X109" s="28" t="s">
        <v>6</v>
      </c>
      <c r="Y109" s="158">
        <v>2</v>
      </c>
      <c r="Z109" s="17"/>
      <c r="AA109" s="173">
        <f>P109/SUM($P$9:$P$111)</f>
        <v>8.4269662921348312E-3</v>
      </c>
      <c r="AB109" s="174">
        <f>Master_Data[[#This Row],[Imp. Level]]/SUMIF(Master_Data[Subject],Master_Data[[#This Row],[Subject]],Master_Data[Imp. Level])</f>
        <v>0.1</v>
      </c>
      <c r="AC109" s="157">
        <f>Master_Data[[#This Row],[Subjectwise weights]]*Master_Data[[#This Row],[Confidence Level]]</f>
        <v>0.2</v>
      </c>
      <c r="AD109" s="274" t="str">
        <f>Master_Data[[#This Row],[Prac. Book]]</f>
        <v>U</v>
      </c>
      <c r="AE109" s="274" t="str">
        <f>Master_Data[[#This Row],[GARP EOC Ques.]]</f>
        <v>U</v>
      </c>
    </row>
    <row r="110" spans="2:31" ht="27.5" customHeight="1" x14ac:dyDescent="0.3">
      <c r="B110" s="3">
        <v>102</v>
      </c>
      <c r="C110" s="182" t="str">
        <f ca="1">IF(Master_Data[[#This Row],[Column1]]=0,"",IF(Master_Data[[#This Row],[Column1]]=1,"Current Week",CONCATENATE("Week ",Master_Data[[#This Row],[Column1]])))</f>
        <v>Week 30</v>
      </c>
      <c r="D110" s="3">
        <f ca="1">ROUNDUP(Master_Data[[#This Row],[Column2]]/Working!$C$8,0)</f>
        <v>30</v>
      </c>
      <c r="E110" s="151">
        <f>SUM($F$9:F110)</f>
        <v>8.4213425925925947</v>
      </c>
      <c r="F110" s="27">
        <f>IF(Master_Data[[#This Row],[Lectures]]="D","",Master_Data[[#This Row],[Duration (hh:mm)]])</f>
        <v>0.125</v>
      </c>
      <c r="G110" s="2" t="s">
        <v>205</v>
      </c>
      <c r="H110" s="2">
        <v>102</v>
      </c>
      <c r="I110" s="2" t="s">
        <v>97</v>
      </c>
      <c r="J110" s="45" t="s">
        <v>275</v>
      </c>
      <c r="K110" s="177">
        <v>3</v>
      </c>
      <c r="L110" s="152">
        <v>2</v>
      </c>
      <c r="M110" s="153">
        <v>1</v>
      </c>
      <c r="N110" s="153">
        <v>3</v>
      </c>
      <c r="O110" s="153">
        <v>2</v>
      </c>
      <c r="P110" s="153">
        <v>3</v>
      </c>
      <c r="Q110" s="154">
        <v>3</v>
      </c>
      <c r="R110" s="23">
        <v>0.125</v>
      </c>
      <c r="S110" s="43">
        <f>(SUM($R$9:R110)/$R$4)*100</f>
        <v>98.537386037995461</v>
      </c>
      <c r="T110" s="28" t="s">
        <v>6</v>
      </c>
      <c r="U110" s="28" t="s">
        <v>6</v>
      </c>
      <c r="V110" s="28" t="s">
        <v>6</v>
      </c>
      <c r="W110" s="28" t="s">
        <v>6</v>
      </c>
      <c r="X110" s="28" t="s">
        <v>6</v>
      </c>
      <c r="Y110" s="158">
        <v>3</v>
      </c>
      <c r="Z110" s="17"/>
      <c r="AA110" s="173">
        <f>P110/SUM($P$9:$P$111)</f>
        <v>8.4269662921348312E-3</v>
      </c>
      <c r="AB110" s="174">
        <f>Master_Data[[#This Row],[Imp. Level]]/SUMIF(Master_Data[Subject],Master_Data[[#This Row],[Subject]],Master_Data[Imp. Level])</f>
        <v>0.1</v>
      </c>
      <c r="AC110" s="157">
        <f>Master_Data[[#This Row],[Subjectwise weights]]*Master_Data[[#This Row],[Confidence Level]]</f>
        <v>0.30000000000000004</v>
      </c>
      <c r="AD110" s="274" t="str">
        <f>Master_Data[[#This Row],[Prac. Book]]</f>
        <v>U</v>
      </c>
      <c r="AE110" s="274" t="str">
        <f>Master_Data[[#This Row],[GARP EOC Ques.]]</f>
        <v>U</v>
      </c>
    </row>
    <row r="111" spans="2:31" ht="27.5" customHeight="1" x14ac:dyDescent="0.3">
      <c r="B111" s="3">
        <v>103</v>
      </c>
      <c r="C111" s="182" t="str">
        <f ca="1">IF(Master_Data[[#This Row],[Column1]]=0,"",IF(Master_Data[[#This Row],[Column1]]=1,"Current Week",CONCATENATE("Week ",Master_Data[[#This Row],[Column1]])))</f>
        <v>Week 31</v>
      </c>
      <c r="D111" s="3">
        <f ca="1">ROUNDUP(Master_Data[[#This Row],[Column2]]/Working!$C$8,0)</f>
        <v>31</v>
      </c>
      <c r="E111" s="151">
        <f>SUM($F$9:F111)</f>
        <v>8.5463425925925947</v>
      </c>
      <c r="F111" s="27">
        <f>IF(Master_Data[[#This Row],[Lectures]]="D","",Master_Data[[#This Row],[Duration (hh:mm)]])</f>
        <v>0.125</v>
      </c>
      <c r="G111" s="2" t="s">
        <v>205</v>
      </c>
      <c r="H111" s="2">
        <v>103</v>
      </c>
      <c r="I111" s="2" t="s">
        <v>97</v>
      </c>
      <c r="J111" s="45" t="s">
        <v>276</v>
      </c>
      <c r="K111" s="177">
        <v>3</v>
      </c>
      <c r="L111" s="152">
        <v>2</v>
      </c>
      <c r="M111" s="153">
        <v>1</v>
      </c>
      <c r="N111" s="153">
        <v>3</v>
      </c>
      <c r="O111" s="153">
        <v>2</v>
      </c>
      <c r="P111" s="153">
        <v>3</v>
      </c>
      <c r="Q111" s="154">
        <v>3</v>
      </c>
      <c r="R111" s="23">
        <v>0.125</v>
      </c>
      <c r="S111" s="43">
        <f>(SUM($R$9:R111)/$R$4)*100</f>
        <v>100</v>
      </c>
      <c r="T111" s="28" t="s">
        <v>6</v>
      </c>
      <c r="U111" s="28" t="s">
        <v>6</v>
      </c>
      <c r="V111" s="28" t="s">
        <v>6</v>
      </c>
      <c r="W111" s="28" t="s">
        <v>6</v>
      </c>
      <c r="X111" s="28" t="s">
        <v>6</v>
      </c>
      <c r="Y111" s="158">
        <v>3</v>
      </c>
      <c r="Z111" s="17"/>
      <c r="AA111" s="173">
        <f>P111/SUM($P$9:$P$111)</f>
        <v>8.4269662921348312E-3</v>
      </c>
      <c r="AB111" s="174">
        <f>Master_Data[[#This Row],[Imp. Level]]/SUMIF(Master_Data[Subject],Master_Data[[#This Row],[Subject]],Master_Data[Imp. Level])</f>
        <v>0.1</v>
      </c>
      <c r="AC111" s="157">
        <f>Master_Data[[#This Row],[Subjectwise weights]]*Master_Data[[#This Row],[Confidence Level]]</f>
        <v>0.30000000000000004</v>
      </c>
      <c r="AD111" s="274" t="str">
        <f>Master_Data[[#This Row],[Prac. Book]]</f>
        <v>U</v>
      </c>
      <c r="AE111" s="274" t="str">
        <f>Master_Data[[#This Row],[GARP EOC Ques.]]</f>
        <v>U</v>
      </c>
    </row>
  </sheetData>
  <sheetProtection algorithmName="SHA-512" hashValue="KpSXy0qsVsl7kPGRWZZrww7osOP/3rsroWtdXAifMxHuUmuDQr76czqKR4lrc/lZ0a5qwobKRrbRpRJrNjzUsg==" saltValue="CMojhW9TK/VDmL6Kd99iNw==" spinCount="100000" sheet="1" selectLockedCells="1"/>
  <mergeCells count="3">
    <mergeCell ref="B4:O5"/>
    <mergeCell ref="P4:Q4"/>
    <mergeCell ref="P5:Q5"/>
  </mergeCells>
  <phoneticPr fontId="31" type="noConversion"/>
  <conditionalFormatting sqref="C9:C111">
    <cfRule type="containsText" dxfId="57" priority="5" operator="containsText" text="Current Week">
      <formula>NOT(ISERROR(SEARCH("Current Week",C9)))</formula>
    </cfRule>
  </conditionalFormatting>
  <conditionalFormatting sqref="J9:J111">
    <cfRule type="expression" dxfId="56" priority="29">
      <formula>$I9="changes"</formula>
    </cfRule>
    <cfRule type="expression" dxfId="55" priority="30">
      <formula>$I9="new"</formula>
    </cfRule>
  </conditionalFormatting>
  <conditionalFormatting sqref="K9:K111">
    <cfRule type="colorScale" priority="307">
      <colorScale>
        <cfvo type="min"/>
        <cfvo type="max"/>
        <color theme="2" tint="-9.9978637043366805E-2"/>
        <color theme="2" tint="-0.749992370372631"/>
      </colorScale>
    </cfRule>
  </conditionalFormatting>
  <conditionalFormatting sqref="L9:Q111">
    <cfRule type="colorScale" priority="306">
      <colorScale>
        <cfvo type="min"/>
        <cfvo type="max"/>
        <color theme="0"/>
        <color theme="0" tint="-0.14999847407452621"/>
      </colorScale>
    </cfRule>
  </conditionalFormatting>
  <conditionalFormatting sqref="R4:R5">
    <cfRule type="dataBar" priority="15">
      <dataBar>
        <cfvo type="min"/>
        <cfvo type="max"/>
        <color theme="0" tint="-0.14999847407452621"/>
      </dataBar>
      <extLst>
        <ext xmlns:x14="http://schemas.microsoft.com/office/spreadsheetml/2009/9/main" uri="{B025F937-C7B1-47D3-B67F-A62EFF666E3E}">
          <x14:id>{E4A8D60C-94AF-41F5-AC8E-3BEE7C7A919E}</x14:id>
        </ext>
      </extLst>
    </cfRule>
  </conditionalFormatting>
  <conditionalFormatting sqref="R9:R111">
    <cfRule type="colorScale" priority="309">
      <colorScale>
        <cfvo type="min"/>
        <cfvo type="max"/>
        <color theme="0"/>
        <color theme="7" tint="0.39997558519241921"/>
      </colorScale>
    </cfRule>
  </conditionalFormatting>
  <conditionalFormatting sqref="S4:S5">
    <cfRule type="dataBar" priority="16">
      <dataBar>
        <cfvo type="min"/>
        <cfvo type="max"/>
        <color theme="0" tint="-0.14999847407452621"/>
      </dataBar>
      <extLst>
        <ext xmlns:x14="http://schemas.microsoft.com/office/spreadsheetml/2009/9/main" uri="{B025F937-C7B1-47D3-B67F-A62EFF666E3E}">
          <x14:id>{53AFC59F-8A2D-4DA2-86C0-21A15848E0DE}</x14:id>
        </ext>
      </extLst>
    </cfRule>
  </conditionalFormatting>
  <conditionalFormatting sqref="S9:S111">
    <cfRule type="dataBar" priority="308">
      <dataBar>
        <cfvo type="min"/>
        <cfvo type="max"/>
        <color theme="7" tint="0.39997558519241921"/>
      </dataBar>
      <extLst>
        <ext xmlns:x14="http://schemas.microsoft.com/office/spreadsheetml/2009/9/main" uri="{B025F937-C7B1-47D3-B67F-A62EFF666E3E}">
          <x14:id>{614AF0CC-EB9B-4C9C-8C78-FCAD106B4EBE}</x14:id>
        </ext>
      </extLst>
    </cfRule>
  </conditionalFormatting>
  <conditionalFormatting sqref="T4:T5">
    <cfRule type="dataBar" priority="25">
      <dataBar>
        <cfvo type="min"/>
        <cfvo type="max"/>
        <color theme="0" tint="-0.14999847407452621"/>
      </dataBar>
      <extLst>
        <ext xmlns:x14="http://schemas.microsoft.com/office/spreadsheetml/2009/9/main" uri="{B025F937-C7B1-47D3-B67F-A62EFF666E3E}">
          <x14:id>{F9B9F512-9F8C-444B-B3E0-623FD50240CF}</x14:id>
        </ext>
      </extLst>
    </cfRule>
  </conditionalFormatting>
  <conditionalFormatting sqref="T9:X111">
    <cfRule type="containsText" dxfId="54" priority="13" operator="containsText" text="D">
      <formula>NOT(ISERROR(SEARCH("D",T9)))</formula>
    </cfRule>
    <cfRule type="containsText" dxfId="53" priority="14" operator="containsText" text="U">
      <formula>NOT(ISERROR(SEARCH("U",T9)))</formula>
    </cfRule>
  </conditionalFormatting>
  <conditionalFormatting sqref="U4:U5">
    <cfRule type="dataBar" priority="24">
      <dataBar>
        <cfvo type="min"/>
        <cfvo type="max"/>
        <color theme="0" tint="-0.14999847407452621"/>
      </dataBar>
      <extLst>
        <ext xmlns:x14="http://schemas.microsoft.com/office/spreadsheetml/2009/9/main" uri="{B025F937-C7B1-47D3-B67F-A62EFF666E3E}">
          <x14:id>{7BACE057-40E3-444D-B25D-77228132D086}</x14:id>
        </ext>
      </extLst>
    </cfRule>
  </conditionalFormatting>
  <conditionalFormatting sqref="V4:V5">
    <cfRule type="dataBar" priority="21">
      <dataBar>
        <cfvo type="min"/>
        <cfvo type="max"/>
        <color theme="0" tint="-0.14999847407452621"/>
      </dataBar>
      <extLst>
        <ext xmlns:x14="http://schemas.microsoft.com/office/spreadsheetml/2009/9/main" uri="{B025F937-C7B1-47D3-B67F-A62EFF666E3E}">
          <x14:id>{0C9CC41A-4CB7-439E-A820-B1DE49759853}</x14:id>
        </ext>
      </extLst>
    </cfRule>
  </conditionalFormatting>
  <conditionalFormatting sqref="W4:W5">
    <cfRule type="dataBar" priority="19">
      <dataBar>
        <cfvo type="min"/>
        <cfvo type="max"/>
        <color theme="0" tint="-0.14999847407452621"/>
      </dataBar>
      <extLst>
        <ext xmlns:x14="http://schemas.microsoft.com/office/spreadsheetml/2009/9/main" uri="{B025F937-C7B1-47D3-B67F-A62EFF666E3E}">
          <x14:id>{4CDC2B86-CC25-4CF5-A99D-ACB0BBBCBF67}</x14:id>
        </ext>
      </extLst>
    </cfRule>
  </conditionalFormatting>
  <conditionalFormatting sqref="X4:X5">
    <cfRule type="dataBar" priority="18">
      <dataBar>
        <cfvo type="min"/>
        <cfvo type="max"/>
        <color theme="0" tint="-0.14999847407452621"/>
      </dataBar>
      <extLst>
        <ext xmlns:x14="http://schemas.microsoft.com/office/spreadsheetml/2009/9/main" uri="{B025F937-C7B1-47D3-B67F-A62EFF666E3E}">
          <x14:id>{F3B30793-9FEE-47F2-84CD-ACA8C05704FA}</x14:id>
        </ext>
      </extLst>
    </cfRule>
  </conditionalFormatting>
  <conditionalFormatting sqref="Y4:Y5">
    <cfRule type="dataBar" priority="1">
      <dataBar>
        <cfvo type="min"/>
        <cfvo type="max"/>
        <color theme="0" tint="-0.14999847407452621"/>
      </dataBar>
      <extLst>
        <ext xmlns:x14="http://schemas.microsoft.com/office/spreadsheetml/2009/9/main" uri="{B025F937-C7B1-47D3-B67F-A62EFF666E3E}">
          <x14:id>{BD2A8453-D315-4396-A5BF-45134448A47A}</x14:id>
        </ext>
      </extLst>
    </cfRule>
  </conditionalFormatting>
  <conditionalFormatting sqref="Y9:Y111">
    <cfRule type="colorScale" priority="310">
      <colorScale>
        <cfvo type="min"/>
        <cfvo type="max"/>
        <color theme="0"/>
        <color theme="0" tint="-0.14999847407452621"/>
      </colorScale>
    </cfRule>
  </conditionalFormatting>
  <conditionalFormatting sqref="AB9:AB66">
    <cfRule type="expression" dxfId="52" priority="7">
      <formula>#REF!="C"</formula>
    </cfRule>
    <cfRule type="expression" dxfId="51" priority="8">
      <formula>#REF!="B"</formula>
    </cfRule>
    <cfRule type="expression" dxfId="50" priority="9">
      <formula>#REF!="A"</formula>
    </cfRule>
  </conditionalFormatting>
  <dataValidations count="2">
    <dataValidation type="whole" allowBlank="1" showInputMessage="1" showErrorMessage="1" errorTitle="Confidence Level" error="Please Rate your Confidence Level on the Scale of 1-5." sqref="Y9:Y111" xr:uid="{6CB7B2CB-1406-4433-95D0-2AC9E3606557}">
      <formula1>1</formula1>
      <formula2>5</formula2>
    </dataValidation>
    <dataValidation type="list" allowBlank="1" showInputMessage="1" sqref="T9:X111" xr:uid="{7DA91DE3-604C-4412-B794-4F4D3EC10586}">
      <formula1>"U,D"</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A8D60C-94AF-41F5-AC8E-3BEE7C7A919E}">
            <x14:dataBar minLength="0" maxLength="100" gradient="0">
              <x14:cfvo type="autoMin"/>
              <x14:cfvo type="autoMax"/>
              <x14:negativeFillColor rgb="FFFF0000"/>
              <x14:axisColor rgb="FF000000"/>
            </x14:dataBar>
          </x14:cfRule>
          <xm:sqref>R4:R5</xm:sqref>
        </x14:conditionalFormatting>
        <x14:conditionalFormatting xmlns:xm="http://schemas.microsoft.com/office/excel/2006/main">
          <x14:cfRule type="dataBar" id="{53AFC59F-8A2D-4DA2-86C0-21A15848E0DE}">
            <x14:dataBar minLength="0" maxLength="100" gradient="0">
              <x14:cfvo type="autoMin"/>
              <x14:cfvo type="autoMax"/>
              <x14:negativeFillColor rgb="FFFF0000"/>
              <x14:axisColor rgb="FF000000"/>
            </x14:dataBar>
          </x14:cfRule>
          <xm:sqref>S4:S5</xm:sqref>
        </x14:conditionalFormatting>
        <x14:conditionalFormatting xmlns:xm="http://schemas.microsoft.com/office/excel/2006/main">
          <x14:cfRule type="dataBar" id="{614AF0CC-EB9B-4C9C-8C78-FCAD106B4EBE}">
            <x14:dataBar minLength="0" maxLength="100" gradient="0">
              <x14:cfvo type="autoMin"/>
              <x14:cfvo type="autoMax"/>
              <x14:negativeFillColor rgb="FFFF0000"/>
              <x14:axisColor rgb="FF000000"/>
            </x14:dataBar>
          </x14:cfRule>
          <xm:sqref>S9:S111</xm:sqref>
        </x14:conditionalFormatting>
        <x14:conditionalFormatting xmlns:xm="http://schemas.microsoft.com/office/excel/2006/main">
          <x14:cfRule type="dataBar" id="{F9B9F512-9F8C-444B-B3E0-623FD50240CF}">
            <x14:dataBar minLength="0" maxLength="100" gradient="0">
              <x14:cfvo type="autoMin"/>
              <x14:cfvo type="autoMax"/>
              <x14:negativeFillColor rgb="FFFF0000"/>
              <x14:axisColor rgb="FF000000"/>
            </x14:dataBar>
          </x14:cfRule>
          <xm:sqref>T4:T5</xm:sqref>
        </x14:conditionalFormatting>
        <x14:conditionalFormatting xmlns:xm="http://schemas.microsoft.com/office/excel/2006/main">
          <x14:cfRule type="dataBar" id="{7BACE057-40E3-444D-B25D-77228132D086}">
            <x14:dataBar minLength="0" maxLength="100" gradient="0">
              <x14:cfvo type="autoMin"/>
              <x14:cfvo type="autoMax"/>
              <x14:negativeFillColor rgb="FFFF0000"/>
              <x14:axisColor rgb="FF000000"/>
            </x14:dataBar>
          </x14:cfRule>
          <xm:sqref>U4:U5</xm:sqref>
        </x14:conditionalFormatting>
        <x14:conditionalFormatting xmlns:xm="http://schemas.microsoft.com/office/excel/2006/main">
          <x14:cfRule type="dataBar" id="{0C9CC41A-4CB7-439E-A820-B1DE49759853}">
            <x14:dataBar minLength="0" maxLength="100" gradient="0">
              <x14:cfvo type="autoMin"/>
              <x14:cfvo type="autoMax"/>
              <x14:negativeFillColor rgb="FFFF0000"/>
              <x14:axisColor rgb="FF000000"/>
            </x14:dataBar>
          </x14:cfRule>
          <xm:sqref>V4:V5</xm:sqref>
        </x14:conditionalFormatting>
        <x14:conditionalFormatting xmlns:xm="http://schemas.microsoft.com/office/excel/2006/main">
          <x14:cfRule type="dataBar" id="{4CDC2B86-CC25-4CF5-A99D-ACB0BBBCBF67}">
            <x14:dataBar minLength="0" maxLength="100" gradient="0">
              <x14:cfvo type="autoMin"/>
              <x14:cfvo type="autoMax"/>
              <x14:negativeFillColor rgb="FFFF0000"/>
              <x14:axisColor rgb="FF000000"/>
            </x14:dataBar>
          </x14:cfRule>
          <xm:sqref>W4:W5</xm:sqref>
        </x14:conditionalFormatting>
        <x14:conditionalFormatting xmlns:xm="http://schemas.microsoft.com/office/excel/2006/main">
          <x14:cfRule type="dataBar" id="{F3B30793-9FEE-47F2-84CD-ACA8C05704FA}">
            <x14:dataBar minLength="0" maxLength="100" gradient="0">
              <x14:cfvo type="autoMin"/>
              <x14:cfvo type="autoMax"/>
              <x14:negativeFillColor rgb="FFFF0000"/>
              <x14:axisColor rgb="FF000000"/>
            </x14:dataBar>
          </x14:cfRule>
          <xm:sqref>X4:X5</xm:sqref>
        </x14:conditionalFormatting>
        <x14:conditionalFormatting xmlns:xm="http://schemas.microsoft.com/office/excel/2006/main">
          <x14:cfRule type="dataBar" id="{BD2A8453-D315-4396-A5BF-45134448A47A}">
            <x14:dataBar minLength="0" maxLength="100" gradient="0">
              <x14:cfvo type="autoMin"/>
              <x14:cfvo type="autoMax"/>
              <x14:negativeFillColor rgb="FFFF0000"/>
              <x14:axisColor rgb="FF000000"/>
            </x14:dataBar>
          </x14:cfRule>
          <xm:sqref>Y4:Y5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39997558519241921"/>
  </sheetPr>
  <dimension ref="B1:AI87"/>
  <sheetViews>
    <sheetView showGridLines="0" zoomScale="90" zoomScaleNormal="90" workbookViewId="0">
      <selection activeCell="C38" sqref="C38"/>
    </sheetView>
  </sheetViews>
  <sheetFormatPr defaultColWidth="9.1796875" defaultRowHeight="15.5" x14ac:dyDescent="0.35"/>
  <cols>
    <col min="1" max="1" width="9.1796875" style="29"/>
    <col min="2" max="2" width="3.453125" style="29" customWidth="1"/>
    <col min="3" max="3" width="27.26953125" style="29" customWidth="1"/>
    <col min="4" max="4" width="12.1796875" style="29" customWidth="1"/>
    <col min="5" max="5" width="9.81640625" style="29" customWidth="1"/>
    <col min="6" max="6" width="11.7265625" style="29" hidden="1" customWidth="1"/>
    <col min="7" max="7" width="10.54296875" style="29" customWidth="1"/>
    <col min="8" max="8" width="10.7265625" style="30" customWidth="1"/>
    <col min="9" max="9" width="18.81640625" style="30" customWidth="1"/>
    <col min="10" max="10" width="12.26953125" style="30" customWidth="1"/>
    <col min="11" max="11" width="10.54296875" style="29" customWidth="1"/>
    <col min="12" max="12" width="9.1796875" style="31"/>
    <col min="13" max="13" width="10.26953125" style="31" customWidth="1"/>
    <col min="14" max="14" width="12" style="31" customWidth="1"/>
    <col min="15" max="15" width="4.453125" style="31" customWidth="1"/>
    <col min="16" max="16" width="11.54296875" style="31" customWidth="1"/>
    <col min="17" max="17" width="17.1796875" style="31" bestFit="1" customWidth="1"/>
    <col min="18" max="25" width="9.1796875" style="31"/>
    <col min="26" max="16384" width="9.1796875" style="29"/>
  </cols>
  <sheetData>
    <row r="1" spans="2:19" ht="8.5" customHeight="1" x14ac:dyDescent="0.35"/>
    <row r="2" spans="2:19" s="77" customFormat="1" ht="15.75" customHeight="1" x14ac:dyDescent="0.35">
      <c r="C2" s="288" t="s">
        <v>8</v>
      </c>
      <c r="D2" s="288"/>
      <c r="E2" s="288"/>
      <c r="F2" s="288"/>
      <c r="G2" s="288"/>
      <c r="H2" s="288"/>
      <c r="I2" s="288"/>
      <c r="J2" s="288"/>
      <c r="K2" s="288"/>
    </row>
    <row r="3" spans="2:19" s="77" customFormat="1" ht="11.5" customHeight="1" x14ac:dyDescent="0.35">
      <c r="C3" s="288"/>
      <c r="D3" s="288"/>
      <c r="E3" s="288"/>
      <c r="F3" s="288"/>
      <c r="G3" s="288"/>
      <c r="H3" s="288"/>
      <c r="I3" s="288"/>
      <c r="J3" s="288"/>
      <c r="K3" s="288"/>
    </row>
    <row r="4" spans="2:19" s="31" customFormat="1" ht="11.5" customHeight="1" x14ac:dyDescent="0.35">
      <c r="C4" s="56"/>
      <c r="D4" s="56"/>
      <c r="E4" s="56"/>
      <c r="F4" s="56"/>
      <c r="G4" s="56"/>
      <c r="H4" s="56"/>
      <c r="I4" s="56"/>
      <c r="J4" s="56"/>
      <c r="K4" s="56"/>
    </row>
    <row r="5" spans="2:19" s="31" customFormat="1" ht="11.5" customHeight="1" x14ac:dyDescent="0.35">
      <c r="B5" s="294" t="str">
        <f>CONCATENATE("The graph below, with respect to the practice includes ",'⏱ Input'!W8," and extra practice includes ",'⏱ Input'!X8)</f>
        <v>The graph below, with respect to the practice includes Prac. Book and extra practice includes GARP EOC Ques.</v>
      </c>
      <c r="C5" s="294"/>
      <c r="D5" s="294"/>
      <c r="E5" s="294"/>
      <c r="F5" s="294"/>
      <c r="G5" s="294"/>
      <c r="H5" s="294"/>
      <c r="I5" s="294"/>
      <c r="J5" s="294"/>
      <c r="K5" s="294"/>
      <c r="L5" s="294"/>
      <c r="M5" s="294"/>
      <c r="N5" s="57"/>
      <c r="O5" s="57"/>
      <c r="P5" s="57"/>
      <c r="Q5" s="57"/>
      <c r="R5" s="57"/>
      <c r="S5" s="57"/>
    </row>
    <row r="6" spans="2:19" s="31" customFormat="1" ht="32.5" customHeight="1" x14ac:dyDescent="0.35">
      <c r="B6" s="294"/>
      <c r="C6" s="294"/>
      <c r="D6" s="294"/>
      <c r="E6" s="294"/>
      <c r="F6" s="294"/>
      <c r="G6" s="294"/>
      <c r="H6" s="294"/>
      <c r="I6" s="294"/>
      <c r="J6" s="294"/>
      <c r="K6" s="294"/>
      <c r="L6" s="294"/>
      <c r="M6" s="294"/>
      <c r="N6" s="57"/>
      <c r="O6" s="57"/>
      <c r="P6" s="57"/>
      <c r="Q6" s="57"/>
      <c r="R6" s="57"/>
      <c r="S6" s="57"/>
    </row>
    <row r="7" spans="2:19" s="31" customFormat="1" ht="15.75" customHeight="1" x14ac:dyDescent="0.35">
      <c r="H7" s="30"/>
      <c r="I7" s="30"/>
      <c r="J7" s="30"/>
      <c r="K7" s="29"/>
    </row>
    <row r="8" spans="2:19" s="31" customFormat="1" ht="15.75" customHeight="1" x14ac:dyDescent="0.35">
      <c r="H8" s="30"/>
      <c r="I8" s="30"/>
      <c r="J8" s="30"/>
      <c r="K8" s="29"/>
    </row>
    <row r="9" spans="2:19" s="31" customFormat="1" ht="15.75" customHeight="1" x14ac:dyDescent="0.35">
      <c r="H9" s="30"/>
      <c r="I9" s="30"/>
      <c r="J9" s="30"/>
      <c r="K9" s="29"/>
    </row>
    <row r="10" spans="2:19" s="31" customFormat="1" ht="15.75" customHeight="1" x14ac:dyDescent="0.35">
      <c r="H10" s="30"/>
      <c r="I10" s="30"/>
      <c r="J10" s="30"/>
      <c r="K10" s="29"/>
      <c r="O10" s="149" t="s">
        <v>81</v>
      </c>
      <c r="P10" s="150"/>
    </row>
    <row r="11" spans="2:19" s="31" customFormat="1" ht="15.75" customHeight="1" x14ac:dyDescent="0.35">
      <c r="H11" s="30"/>
      <c r="I11" s="30"/>
      <c r="J11" s="30"/>
      <c r="K11" s="29"/>
      <c r="O11" s="4"/>
      <c r="P11" s="29" t="s">
        <v>12</v>
      </c>
    </row>
    <row r="12" spans="2:19" s="31" customFormat="1" ht="15.75" customHeight="1" x14ac:dyDescent="0.35">
      <c r="H12" s="30"/>
      <c r="I12" s="30"/>
      <c r="J12" s="30"/>
      <c r="K12" s="29"/>
      <c r="O12" s="5"/>
      <c r="P12" s="29" t="s">
        <v>11</v>
      </c>
    </row>
    <row r="13" spans="2:19" s="31" customFormat="1" ht="15.75" customHeight="1" x14ac:dyDescent="0.35">
      <c r="H13" s="30"/>
      <c r="I13" s="30"/>
      <c r="J13" s="30"/>
      <c r="K13" s="29"/>
      <c r="O13" s="150"/>
      <c r="P13" s="29"/>
    </row>
    <row r="14" spans="2:19" s="31" customFormat="1" ht="15.75" customHeight="1" x14ac:dyDescent="0.35">
      <c r="H14" s="30"/>
      <c r="I14" s="30"/>
      <c r="J14" s="30"/>
      <c r="K14" s="29"/>
      <c r="O14" s="150" t="s">
        <v>17</v>
      </c>
      <c r="P14" s="29"/>
    </row>
    <row r="15" spans="2:19" s="31" customFormat="1" ht="15.75" customHeight="1" x14ac:dyDescent="0.35">
      <c r="H15" s="30"/>
      <c r="I15" s="30"/>
      <c r="J15" s="30"/>
      <c r="K15" s="29"/>
      <c r="O15" s="6"/>
      <c r="P15" s="29" t="s">
        <v>12</v>
      </c>
    </row>
    <row r="16" spans="2:19" s="31" customFormat="1" ht="15.75" customHeight="1" x14ac:dyDescent="0.35">
      <c r="H16" s="30"/>
      <c r="I16" s="30"/>
      <c r="J16" s="30"/>
      <c r="K16" s="29"/>
      <c r="O16" s="7"/>
      <c r="P16" s="29" t="s">
        <v>11</v>
      </c>
    </row>
    <row r="17" spans="3:32" s="31" customFormat="1" ht="15.75" customHeight="1" x14ac:dyDescent="0.35">
      <c r="H17" s="30"/>
      <c r="I17" s="30"/>
      <c r="J17" s="30"/>
      <c r="K17" s="29"/>
      <c r="O17" s="29"/>
      <c r="P17" s="29"/>
    </row>
    <row r="18" spans="3:32" s="31" customFormat="1" ht="15.75" customHeight="1" x14ac:dyDescent="0.35">
      <c r="H18" s="30"/>
      <c r="I18" s="30"/>
      <c r="J18" s="30"/>
      <c r="K18" s="29"/>
      <c r="O18" s="150" t="s">
        <v>23</v>
      </c>
      <c r="P18" s="29"/>
    </row>
    <row r="19" spans="3:32" s="31" customFormat="1" ht="15.75" customHeight="1" x14ac:dyDescent="0.35">
      <c r="H19" s="30"/>
      <c r="I19" s="30"/>
      <c r="J19" s="30"/>
      <c r="K19" s="29"/>
      <c r="O19" s="24"/>
      <c r="P19" s="29" t="s">
        <v>12</v>
      </c>
    </row>
    <row r="20" spans="3:32" s="31" customFormat="1" ht="15.75" customHeight="1" x14ac:dyDescent="0.35">
      <c r="H20" s="30"/>
      <c r="I20" s="30"/>
      <c r="J20" s="30"/>
      <c r="K20" s="29"/>
      <c r="O20" s="190"/>
      <c r="P20" s="29" t="s">
        <v>11</v>
      </c>
    </row>
    <row r="21" spans="3:32" s="31" customFormat="1" ht="15.75" customHeight="1" x14ac:dyDescent="0.35">
      <c r="H21" s="30"/>
      <c r="I21" s="30"/>
      <c r="J21" s="30"/>
      <c r="K21" s="29"/>
      <c r="O21" s="29"/>
      <c r="P21" s="29"/>
    </row>
    <row r="22" spans="3:32" s="31" customFormat="1" ht="15.75" customHeight="1" x14ac:dyDescent="0.35">
      <c r="H22" s="30"/>
      <c r="I22" s="30"/>
      <c r="J22" s="30"/>
      <c r="K22" s="29"/>
      <c r="O22" s="150" t="s">
        <v>99</v>
      </c>
      <c r="P22" s="29"/>
    </row>
    <row r="23" spans="3:32" s="31" customFormat="1" ht="15.75" customHeight="1" x14ac:dyDescent="0.35">
      <c r="H23" s="30"/>
      <c r="I23" s="30"/>
      <c r="J23" s="30"/>
      <c r="K23" s="29"/>
      <c r="O23" s="25"/>
      <c r="P23" s="29" t="s">
        <v>12</v>
      </c>
    </row>
    <row r="24" spans="3:32" s="31" customFormat="1" ht="15.75" customHeight="1" x14ac:dyDescent="0.35">
      <c r="H24" s="30"/>
      <c r="I24" s="30"/>
      <c r="J24" s="30"/>
      <c r="K24" s="29"/>
      <c r="O24" s="26"/>
      <c r="P24" s="29" t="s">
        <v>11</v>
      </c>
    </row>
    <row r="25" spans="3:32" s="31" customFormat="1" ht="15.75" customHeight="1" x14ac:dyDescent="0.35">
      <c r="H25" s="30"/>
      <c r="I25" s="30"/>
      <c r="J25" s="30"/>
      <c r="K25" s="29"/>
      <c r="O25" s="29"/>
      <c r="P25" s="29"/>
    </row>
    <row r="26" spans="3:32" s="31" customFormat="1" ht="15.75" customHeight="1" thickBot="1" x14ac:dyDescent="0.4">
      <c r="H26" s="30"/>
      <c r="I26" s="30"/>
      <c r="J26" s="30"/>
      <c r="K26" s="29"/>
      <c r="O26" s="29"/>
      <c r="P26" s="286" t="s">
        <v>98</v>
      </c>
    </row>
    <row r="27" spans="3:32" s="31" customFormat="1" ht="15.75" customHeight="1" thickTop="1" x14ac:dyDescent="0.35">
      <c r="H27" s="30"/>
      <c r="I27" s="30"/>
      <c r="J27" s="30"/>
      <c r="K27" s="29"/>
      <c r="O27" s="184"/>
      <c r="P27" s="287"/>
    </row>
    <row r="28" spans="3:32" s="31" customFormat="1" ht="15.75" customHeight="1" x14ac:dyDescent="0.35">
      <c r="H28" s="30"/>
      <c r="I28" s="30"/>
      <c r="J28" s="30"/>
      <c r="K28" s="29"/>
    </row>
    <row r="29" spans="3:32" s="31" customFormat="1" ht="15.75" customHeight="1" x14ac:dyDescent="0.35">
      <c r="H29" s="30"/>
      <c r="I29" s="30"/>
      <c r="J29" s="30"/>
      <c r="K29" s="29"/>
    </row>
    <row r="30" spans="3:32" s="31" customFormat="1" ht="15.75" customHeight="1" x14ac:dyDescent="0.35">
      <c r="H30" s="30"/>
      <c r="I30" s="30"/>
      <c r="J30" s="30"/>
      <c r="K30" s="29"/>
    </row>
    <row r="31" spans="3:32" s="31" customFormat="1" ht="23.25" customHeight="1" x14ac:dyDescent="0.35">
      <c r="C31" s="290" t="s">
        <v>3</v>
      </c>
      <c r="D31" s="289" t="s">
        <v>81</v>
      </c>
      <c r="E31" s="289"/>
      <c r="F31" s="289"/>
      <c r="G31" s="269" t="s">
        <v>17</v>
      </c>
      <c r="H31" s="189" t="s">
        <v>23</v>
      </c>
      <c r="I31" s="270" t="s">
        <v>99</v>
      </c>
      <c r="J31" s="292" t="s">
        <v>100</v>
      </c>
      <c r="K31" s="292" t="s">
        <v>9</v>
      </c>
      <c r="T31" s="30"/>
      <c r="U31" s="30"/>
      <c r="V31" s="30"/>
      <c r="W31" s="30"/>
      <c r="X31" s="30"/>
      <c r="Y31" s="30"/>
      <c r="Z31" s="30"/>
      <c r="AA31" s="30"/>
      <c r="AB31" s="30"/>
    </row>
    <row r="32" spans="3:32" ht="46.5" customHeight="1" x14ac:dyDescent="0.35">
      <c r="C32" s="291"/>
      <c r="D32" s="159" t="s">
        <v>34</v>
      </c>
      <c r="E32" s="159" t="s">
        <v>29</v>
      </c>
      <c r="F32" s="159" t="s">
        <v>38</v>
      </c>
      <c r="G32" s="160" t="str">
        <f>Master_Data[[#Headers],[Prac. Book]]</f>
        <v>Prac. Book</v>
      </c>
      <c r="H32" s="161" t="str">
        <f>Master_Data[[#Headers],[Revision]]</f>
        <v>Revision</v>
      </c>
      <c r="I32" s="162" t="str">
        <f>Master_Data[[#Headers],[GARP EOC Ques.]]</f>
        <v>GARP EOC Ques.</v>
      </c>
      <c r="J32" s="293"/>
      <c r="K32" s="293"/>
      <c r="L32" s="36" t="s">
        <v>18</v>
      </c>
      <c r="M32" s="36" t="s">
        <v>19</v>
      </c>
      <c r="N32" s="36" t="s">
        <v>112</v>
      </c>
      <c r="O32" s="36" t="s">
        <v>20</v>
      </c>
      <c r="P32" s="36" t="s">
        <v>104</v>
      </c>
      <c r="Q32" s="36" t="s">
        <v>105</v>
      </c>
      <c r="R32" s="36" t="s">
        <v>106</v>
      </c>
      <c r="S32" s="36"/>
      <c r="T32" s="36"/>
      <c r="U32" s="36"/>
      <c r="V32" s="36" t="s">
        <v>13</v>
      </c>
      <c r="W32" s="36" t="s">
        <v>14</v>
      </c>
      <c r="X32" s="36" t="s">
        <v>15</v>
      </c>
      <c r="Y32" s="36" t="s">
        <v>16</v>
      </c>
      <c r="Z32" s="36" t="s">
        <v>107</v>
      </c>
      <c r="AA32" s="36" t="s">
        <v>108</v>
      </c>
      <c r="AB32" s="36" t="s">
        <v>105</v>
      </c>
      <c r="AC32" s="36" t="s">
        <v>109</v>
      </c>
      <c r="AD32" s="36" t="s">
        <v>110</v>
      </c>
      <c r="AE32" s="36" t="s">
        <v>111</v>
      </c>
      <c r="AF32" s="36"/>
    </row>
    <row r="33" spans="2:35" x14ac:dyDescent="0.35">
      <c r="B33" s="138">
        <v>2.5</v>
      </c>
      <c r="C33" s="163" t="s">
        <v>160</v>
      </c>
      <c r="D33" s="164">
        <f>SUMIFS(Master_Data[Duration (hh:mm)],Master_Data[Subject],'📊 Progress'!C33,Master_Data[Lectures],"d")</f>
        <v>0</v>
      </c>
      <c r="E33" s="165">
        <f>SUMIF(Master_Data[Subject],'📊 Progress'!C33,Master_Data[Duration (hh:mm)])</f>
        <v>1.1087962962962965</v>
      </c>
      <c r="F33" s="166">
        <f>COUNTIFS(Master_Data[Subject],C33,Master_Data[Self Study],"D",Master_Data[Lectures],"D")</f>
        <v>0</v>
      </c>
      <c r="G33" s="166">
        <f>COUNTIFS(Master_Data[Subject],'📊 Progress'!$C33,Master_Data[Prac. Book],"D")</f>
        <v>0</v>
      </c>
      <c r="H33" s="166">
        <f>COUNTIFS(Master_Data[Subject],'📊 Progress'!$C33,Master_Data[Revision],"D")</f>
        <v>0</v>
      </c>
      <c r="I33" s="166">
        <f>COUNTIFS(Master_Data[Subject],'📊 Progress'!$C33,Master_Data[GARP EOC Ques.],"D")</f>
        <v>0</v>
      </c>
      <c r="J33" s="167">
        <f>SUMIF(Master_Data[Subject],'📊 Progress'!C33,Master_Data[Subjectwise weighted average])</f>
        <v>2.3898305084745761</v>
      </c>
      <c r="K33" s="168">
        <f>COUNTIF(Master_Data[Subject],'📊 Progress'!C33)</f>
        <v>16</v>
      </c>
      <c r="L33" s="37">
        <f t="shared" ref="L33:L38" si="0">ROUND(AVERAGE(G33:G33),0)</f>
        <v>0</v>
      </c>
      <c r="M33" s="37">
        <f t="shared" ref="M33:M38" si="1">K33-L33</f>
        <v>16</v>
      </c>
      <c r="N33" s="37">
        <f t="shared" ref="N33:N38" si="2">F33</f>
        <v>0</v>
      </c>
      <c r="O33" s="37">
        <f t="shared" ref="O33:O38" si="3">K33-F33</f>
        <v>16</v>
      </c>
      <c r="P33" s="37">
        <f t="shared" ref="P33:P38" si="4">K33-H33</f>
        <v>16</v>
      </c>
      <c r="Q33" s="37">
        <f t="shared" ref="Q33:Q38" si="5">ROUND(AVERAGE(I33:I33),0)</f>
        <v>0</v>
      </c>
      <c r="R33" s="37">
        <f t="shared" ref="R33:R38" si="6">K33-Q33</f>
        <v>16</v>
      </c>
      <c r="S33" s="36"/>
      <c r="T33" s="36"/>
      <c r="U33" s="36" t="str">
        <f t="shared" ref="U33:U38" si="7">C33</f>
        <v>Market Risk</v>
      </c>
      <c r="V33" s="80">
        <f t="shared" ref="V33:V38" si="8">(F33/K33)</f>
        <v>0</v>
      </c>
      <c r="W33" s="80">
        <v>1</v>
      </c>
      <c r="X33" s="80" t="str">
        <f t="shared" ref="X33:X38" si="9">IF((L33/K33)=0,"",L33/K33)</f>
        <v/>
      </c>
      <c r="Y33" s="80">
        <v>1</v>
      </c>
      <c r="Z33" s="80">
        <f t="shared" ref="Z33:Z38" si="10">H33/K33</f>
        <v>0</v>
      </c>
      <c r="AA33" s="80">
        <v>1</v>
      </c>
      <c r="AB33" s="80" t="str">
        <f t="shared" ref="AB33:AB38" si="11">IF((Q33/K33)=0,"",Q33/K33)</f>
        <v/>
      </c>
      <c r="AC33" s="80">
        <v>1</v>
      </c>
      <c r="AD33" s="80">
        <f t="shared" ref="AD33:AD38" si="12">J33/5</f>
        <v>0.47796610169491521</v>
      </c>
      <c r="AE33" s="80">
        <v>1</v>
      </c>
      <c r="AF33" s="36"/>
    </row>
    <row r="34" spans="2:35" x14ac:dyDescent="0.35">
      <c r="B34" s="138">
        <v>2.5</v>
      </c>
      <c r="C34" s="163" t="s">
        <v>174</v>
      </c>
      <c r="D34" s="164">
        <f>SUMIFS(Master_Data[Duration (hh:mm)],Master_Data[Subject],'📊 Progress'!C34,Master_Data[Lectures],"d")</f>
        <v>0</v>
      </c>
      <c r="E34" s="165">
        <f>SUMIF(Master_Data[Subject],'📊 Progress'!C34,Master_Data[Duration (hh:mm)])</f>
        <v>2.5290509259259255</v>
      </c>
      <c r="F34" s="166">
        <f>COUNTIFS(Master_Data[Subject],C34,Master_Data[Self Study],"D",Master_Data[Lectures],"D")</f>
        <v>0</v>
      </c>
      <c r="G34" s="166">
        <f>COUNTIFS(Master_Data[Subject],'📊 Progress'!$C34,Master_Data[Prac. Book],"D")</f>
        <v>0</v>
      </c>
      <c r="H34" s="166">
        <f>COUNTIFS(Master_Data[Subject],'📊 Progress'!$C34,Master_Data[Revision],"D")</f>
        <v>0</v>
      </c>
      <c r="I34" s="166">
        <f>COUNTIFS(Master_Data[Subject],'📊 Progress'!$C34,Master_Data[GARP EOC Ques.],"D")</f>
        <v>0</v>
      </c>
      <c r="J34" s="167">
        <f>SUMIF(Master_Data[Subject],'📊 Progress'!C34,Master_Data[Subjectwise weighted average])</f>
        <v>2.3707865168539324</v>
      </c>
      <c r="K34" s="168">
        <f>COUNTIF(Master_Data[Subject],'📊 Progress'!C34)</f>
        <v>23</v>
      </c>
      <c r="L34" s="37">
        <f t="shared" si="0"/>
        <v>0</v>
      </c>
      <c r="M34" s="37">
        <f t="shared" si="1"/>
        <v>23</v>
      </c>
      <c r="N34" s="37">
        <f t="shared" si="2"/>
        <v>0</v>
      </c>
      <c r="O34" s="37">
        <f t="shared" si="3"/>
        <v>23</v>
      </c>
      <c r="P34" s="37">
        <f t="shared" si="4"/>
        <v>23</v>
      </c>
      <c r="Q34" s="37">
        <f t="shared" si="5"/>
        <v>0</v>
      </c>
      <c r="R34" s="37">
        <f t="shared" si="6"/>
        <v>23</v>
      </c>
      <c r="S34" s="36"/>
      <c r="T34" s="36"/>
      <c r="U34" s="36" t="str">
        <f t="shared" si="7"/>
        <v>Credit Risk</v>
      </c>
      <c r="V34" s="80">
        <f t="shared" si="8"/>
        <v>0</v>
      </c>
      <c r="W34" s="80">
        <v>1</v>
      </c>
      <c r="X34" s="80" t="str">
        <f t="shared" si="9"/>
        <v/>
      </c>
      <c r="Y34" s="80">
        <v>1</v>
      </c>
      <c r="Z34" s="80">
        <f t="shared" si="10"/>
        <v>0</v>
      </c>
      <c r="AA34" s="80">
        <v>1</v>
      </c>
      <c r="AB34" s="80" t="str">
        <f t="shared" si="11"/>
        <v/>
      </c>
      <c r="AC34" s="80">
        <v>1</v>
      </c>
      <c r="AD34" s="80">
        <f t="shared" si="12"/>
        <v>0.47415730337078649</v>
      </c>
      <c r="AE34" s="80">
        <v>1</v>
      </c>
      <c r="AF34" s="36"/>
    </row>
    <row r="35" spans="2:35" x14ac:dyDescent="0.35">
      <c r="B35" s="138">
        <v>2.5</v>
      </c>
      <c r="C35" s="163" t="s">
        <v>185</v>
      </c>
      <c r="D35" s="164">
        <f>SUMIFS(Master_Data[Duration (hh:mm)],Master_Data[Subject],'📊 Progress'!C35,Master_Data[Lectures],"d")</f>
        <v>0</v>
      </c>
      <c r="E35" s="165">
        <f>SUMIF(Master_Data[Subject],'📊 Progress'!C35,Master_Data[Duration (hh:mm)])</f>
        <v>1.467384259259259</v>
      </c>
      <c r="F35" s="166">
        <f>COUNTIFS(Master_Data[Subject],C35,Master_Data[Self Study],"D",Master_Data[Lectures],"D")</f>
        <v>0</v>
      </c>
      <c r="G35" s="166">
        <f>COUNTIFS(Master_Data[Subject],'📊 Progress'!$C35,Master_Data[Prac. Book],"D")</f>
        <v>0</v>
      </c>
      <c r="H35" s="166">
        <f>COUNTIFS(Master_Data[Subject],'📊 Progress'!$C35,Master_Data[Revision],"D")</f>
        <v>0</v>
      </c>
      <c r="I35" s="166">
        <f>COUNTIFS(Master_Data[Subject],'📊 Progress'!$C35,Master_Data[GARP EOC Ques.],"D")</f>
        <v>0</v>
      </c>
      <c r="J35" s="167">
        <f>SUMIF(Master_Data[Subject],'📊 Progress'!C35,Master_Data[Subjectwise weighted average])</f>
        <v>2.5416666666666674</v>
      </c>
      <c r="K35" s="168">
        <f>COUNTIF(Master_Data[Subject],'📊 Progress'!C35)</f>
        <v>24</v>
      </c>
      <c r="L35" s="37">
        <f t="shared" si="0"/>
        <v>0</v>
      </c>
      <c r="M35" s="37">
        <f t="shared" si="1"/>
        <v>24</v>
      </c>
      <c r="N35" s="37">
        <f t="shared" si="2"/>
        <v>0</v>
      </c>
      <c r="O35" s="37">
        <f t="shared" si="3"/>
        <v>24</v>
      </c>
      <c r="P35" s="37">
        <f t="shared" si="4"/>
        <v>24</v>
      </c>
      <c r="Q35" s="37">
        <f t="shared" si="5"/>
        <v>0</v>
      </c>
      <c r="R35" s="37">
        <f t="shared" si="6"/>
        <v>24</v>
      </c>
      <c r="S35" s="36"/>
      <c r="T35" s="36"/>
      <c r="U35" s="36" t="str">
        <f t="shared" si="7"/>
        <v>Operational Risk</v>
      </c>
      <c r="V35" s="80">
        <f t="shared" si="8"/>
        <v>0</v>
      </c>
      <c r="W35" s="80">
        <v>1</v>
      </c>
      <c r="X35" s="80" t="str">
        <f t="shared" si="9"/>
        <v/>
      </c>
      <c r="Y35" s="80">
        <v>1</v>
      </c>
      <c r="Z35" s="80">
        <f t="shared" si="10"/>
        <v>0</v>
      </c>
      <c r="AA35" s="80">
        <v>1</v>
      </c>
      <c r="AB35" s="80" t="str">
        <f t="shared" si="11"/>
        <v/>
      </c>
      <c r="AC35" s="80">
        <v>1</v>
      </c>
      <c r="AD35" s="80">
        <f t="shared" si="12"/>
        <v>0.50833333333333353</v>
      </c>
      <c r="AE35" s="80">
        <v>1</v>
      </c>
      <c r="AF35" s="36"/>
    </row>
    <row r="36" spans="2:35" x14ac:dyDescent="0.35">
      <c r="B36" s="138">
        <v>2.5</v>
      </c>
      <c r="C36" s="163" t="s">
        <v>186</v>
      </c>
      <c r="D36" s="164">
        <f>SUMIFS(Master_Data[Duration (hh:mm)],Master_Data[Subject],'📊 Progress'!C36,Master_Data[Lectures],"d")</f>
        <v>0</v>
      </c>
      <c r="E36" s="165">
        <f>SUMIF(Master_Data[Subject],'📊 Progress'!C36,Master_Data[Duration (hh:mm)])</f>
        <v>1.3927314814814813</v>
      </c>
      <c r="F36" s="166">
        <f>COUNTIFS(Master_Data[Subject],C36,Master_Data[Self Study],"D",Master_Data[Lectures],"D")</f>
        <v>0</v>
      </c>
      <c r="G36" s="166">
        <f>COUNTIFS(Master_Data[Subject],'📊 Progress'!$C36,Master_Data[Prac. Book],"D")</f>
        <v>0</v>
      </c>
      <c r="H36" s="166">
        <f>COUNTIFS(Master_Data[Subject],'📊 Progress'!$C36,Master_Data[Revision],"D")</f>
        <v>0</v>
      </c>
      <c r="I36" s="166">
        <f>COUNTIFS(Master_Data[Subject],'📊 Progress'!$C36,Master_Data[GARP EOC Ques.],"D")</f>
        <v>0</v>
      </c>
      <c r="J36" s="167">
        <f>SUMIF(Master_Data[Subject],'📊 Progress'!C36,Master_Data[Subjectwise weighted average])</f>
        <v>2.4776119402985071</v>
      </c>
      <c r="K36" s="168">
        <f>COUNTIF(Master_Data[Subject],'📊 Progress'!C36)</f>
        <v>19</v>
      </c>
      <c r="L36" s="37">
        <f t="shared" si="0"/>
        <v>0</v>
      </c>
      <c r="M36" s="37">
        <f t="shared" si="1"/>
        <v>19</v>
      </c>
      <c r="N36" s="37">
        <f t="shared" si="2"/>
        <v>0</v>
      </c>
      <c r="O36" s="37">
        <f t="shared" si="3"/>
        <v>19</v>
      </c>
      <c r="P36" s="37">
        <f t="shared" si="4"/>
        <v>19</v>
      </c>
      <c r="Q36" s="37">
        <f t="shared" si="5"/>
        <v>0</v>
      </c>
      <c r="R36" s="37">
        <f t="shared" si="6"/>
        <v>19</v>
      </c>
      <c r="S36" s="36"/>
      <c r="T36" s="36"/>
      <c r="U36" s="36" t="str">
        <f t="shared" si="7"/>
        <v>Liquidity Risk</v>
      </c>
      <c r="V36" s="80">
        <f t="shared" si="8"/>
        <v>0</v>
      </c>
      <c r="W36" s="80">
        <v>1</v>
      </c>
      <c r="X36" s="80" t="str">
        <f t="shared" si="9"/>
        <v/>
      </c>
      <c r="Y36" s="80">
        <v>1</v>
      </c>
      <c r="Z36" s="80">
        <f t="shared" si="10"/>
        <v>0</v>
      </c>
      <c r="AA36" s="80">
        <v>1</v>
      </c>
      <c r="AB36" s="80" t="str">
        <f t="shared" si="11"/>
        <v/>
      </c>
      <c r="AC36" s="80">
        <v>1</v>
      </c>
      <c r="AD36" s="80">
        <f t="shared" si="12"/>
        <v>0.49552238805970139</v>
      </c>
      <c r="AE36" s="80">
        <v>1</v>
      </c>
      <c r="AF36" s="36"/>
    </row>
    <row r="37" spans="2:35" x14ac:dyDescent="0.35">
      <c r="B37" s="138">
        <v>2.5</v>
      </c>
      <c r="C37" s="163" t="s">
        <v>227</v>
      </c>
      <c r="D37" s="164">
        <f>SUMIFS(Master_Data[Duration (hh:mm)],Master_Data[Subject],'📊 Progress'!C37,Master_Data[Lectures],"d")</f>
        <v>0</v>
      </c>
      <c r="E37" s="165">
        <f>SUMIF(Master_Data[Subject],'📊 Progress'!C37,Master_Data[Duration (hh:mm)])</f>
        <v>0.89880787037037013</v>
      </c>
      <c r="F37" s="166">
        <f>COUNTIFS(Master_Data[Subject],C37,Master_Data[Self Study],"D",Master_Data[Lectures],"D")</f>
        <v>0</v>
      </c>
      <c r="G37" s="166">
        <f>COUNTIFS(Master_Data[Subject],'📊 Progress'!$C37,Master_Data[Prac. Book],"D")</f>
        <v>0</v>
      </c>
      <c r="H37" s="166">
        <f>COUNTIFS(Master_Data[Subject],'📊 Progress'!$C37,Master_Data[Revision],"D")</f>
        <v>0</v>
      </c>
      <c r="I37" s="166">
        <f>COUNTIFS(Master_Data[Subject],'📊 Progress'!$C37,Master_Data[GARP EOC Ques.],"D")</f>
        <v>0</v>
      </c>
      <c r="J37" s="167">
        <f>SUMIF(Master_Data[Subject],'📊 Progress'!C37,Master_Data[Subjectwise weighted average])</f>
        <v>2.2307692307692308</v>
      </c>
      <c r="K37" s="168">
        <f>COUNTIF(Master_Data[Subject],'📊 Progress'!C37)</f>
        <v>11</v>
      </c>
      <c r="L37" s="37">
        <f t="shared" si="0"/>
        <v>0</v>
      </c>
      <c r="M37" s="37">
        <f t="shared" si="1"/>
        <v>11</v>
      </c>
      <c r="N37" s="37">
        <f t="shared" si="2"/>
        <v>0</v>
      </c>
      <c r="O37" s="37">
        <f t="shared" si="3"/>
        <v>11</v>
      </c>
      <c r="P37" s="37">
        <f t="shared" si="4"/>
        <v>11</v>
      </c>
      <c r="Q37" s="37">
        <f t="shared" si="5"/>
        <v>0</v>
      </c>
      <c r="R37" s="37">
        <f t="shared" si="6"/>
        <v>11</v>
      </c>
      <c r="S37" s="36"/>
      <c r="T37" s="36"/>
      <c r="U37" s="36" t="str">
        <f t="shared" si="7"/>
        <v>Investment Risk</v>
      </c>
      <c r="V37" s="80">
        <f t="shared" si="8"/>
        <v>0</v>
      </c>
      <c r="W37" s="80">
        <v>1</v>
      </c>
      <c r="X37" s="80" t="str">
        <f t="shared" si="9"/>
        <v/>
      </c>
      <c r="Y37" s="80">
        <v>1</v>
      </c>
      <c r="Z37" s="80">
        <f t="shared" si="10"/>
        <v>0</v>
      </c>
      <c r="AA37" s="80">
        <v>1</v>
      </c>
      <c r="AB37" s="80" t="str">
        <f t="shared" si="11"/>
        <v/>
      </c>
      <c r="AC37" s="80">
        <v>1</v>
      </c>
      <c r="AD37" s="80">
        <f t="shared" si="12"/>
        <v>0.44615384615384618</v>
      </c>
      <c r="AE37" s="80">
        <v>1</v>
      </c>
      <c r="AF37" s="36"/>
    </row>
    <row r="38" spans="2:35" x14ac:dyDescent="0.35">
      <c r="B38" s="138">
        <v>2.5</v>
      </c>
      <c r="C38" s="163" t="s">
        <v>205</v>
      </c>
      <c r="D38" s="164">
        <f>SUMIFS(Master_Data[Duration (hh:mm)],Master_Data[Subject],'📊 Progress'!C38,Master_Data[Lectures],"d")</f>
        <v>0</v>
      </c>
      <c r="E38" s="165">
        <f>SUMIF(Master_Data[Subject],'📊 Progress'!C38,Master_Data[Duration (hh:mm)])</f>
        <v>1.1495717592592594</v>
      </c>
      <c r="F38" s="166">
        <f>COUNTIFS(Master_Data[Subject],C38,Master_Data[Self Study],"D",Master_Data[Lectures],"D")</f>
        <v>0</v>
      </c>
      <c r="G38" s="166">
        <f>COUNTIFS(Master_Data[Subject],'📊 Progress'!$C38,Master_Data[Prac. Book],"D")</f>
        <v>0</v>
      </c>
      <c r="H38" s="166">
        <f>COUNTIFS(Master_Data[Subject],'📊 Progress'!$C38,Master_Data[Revision],"D")</f>
        <v>0</v>
      </c>
      <c r="I38" s="166">
        <f>COUNTIFS(Master_Data[Subject],'📊 Progress'!$C38,Master_Data[GARP EOC Ques.],"D")</f>
        <v>0</v>
      </c>
      <c r="J38" s="167">
        <f>SUMIF(Master_Data[Subject],'📊 Progress'!C38,Master_Data[Subjectwise weighted average])</f>
        <v>2.7</v>
      </c>
      <c r="K38" s="168">
        <f>COUNTIF(Master_Data[Subject],'📊 Progress'!C38)</f>
        <v>10</v>
      </c>
      <c r="L38" s="37">
        <f t="shared" si="0"/>
        <v>0</v>
      </c>
      <c r="M38" s="37">
        <f t="shared" si="1"/>
        <v>10</v>
      </c>
      <c r="N38" s="37">
        <f t="shared" si="2"/>
        <v>0</v>
      </c>
      <c r="O38" s="37">
        <f t="shared" si="3"/>
        <v>10</v>
      </c>
      <c r="P38" s="37">
        <f t="shared" si="4"/>
        <v>10</v>
      </c>
      <c r="Q38" s="37">
        <f t="shared" si="5"/>
        <v>0</v>
      </c>
      <c r="R38" s="37">
        <f t="shared" si="6"/>
        <v>10</v>
      </c>
      <c r="S38" s="36"/>
      <c r="T38" s="36"/>
      <c r="U38" s="36" t="str">
        <f t="shared" si="7"/>
        <v>Current Issues</v>
      </c>
      <c r="V38" s="80">
        <f t="shared" si="8"/>
        <v>0</v>
      </c>
      <c r="W38" s="80">
        <v>1</v>
      </c>
      <c r="X38" s="80" t="str">
        <f t="shared" si="9"/>
        <v/>
      </c>
      <c r="Y38" s="80">
        <v>1</v>
      </c>
      <c r="Z38" s="80">
        <f t="shared" si="10"/>
        <v>0</v>
      </c>
      <c r="AA38" s="80">
        <v>1</v>
      </c>
      <c r="AB38" s="80" t="str">
        <f t="shared" si="11"/>
        <v/>
      </c>
      <c r="AC38" s="80">
        <v>1</v>
      </c>
      <c r="AD38" s="80">
        <f t="shared" si="12"/>
        <v>0.54</v>
      </c>
      <c r="AE38" s="80">
        <v>1</v>
      </c>
      <c r="AF38" s="36"/>
    </row>
    <row r="39" spans="2:35" s="32" customFormat="1" ht="18" x14ac:dyDescent="0.4">
      <c r="C39" s="169" t="s">
        <v>7</v>
      </c>
      <c r="D39" s="170">
        <f t="shared" ref="D39:I39" si="13">SUM(D33:D38)</f>
        <v>0</v>
      </c>
      <c r="E39" s="170">
        <f t="shared" si="13"/>
        <v>8.5463425925925911</v>
      </c>
      <c r="F39" s="171">
        <f t="shared" si="13"/>
        <v>0</v>
      </c>
      <c r="G39" s="171">
        <f t="shared" si="13"/>
        <v>0</v>
      </c>
      <c r="H39" s="171">
        <f t="shared" si="13"/>
        <v>0</v>
      </c>
      <c r="I39" s="171">
        <f t="shared" si="13"/>
        <v>0</v>
      </c>
      <c r="J39" s="172">
        <f>'⏱ Input'!Y4</f>
        <v>5</v>
      </c>
      <c r="K39" s="171">
        <f>SUM(K33:K38)</f>
        <v>103</v>
      </c>
      <c r="L39" s="79"/>
      <c r="M39" s="34"/>
      <c r="N39" s="34"/>
      <c r="O39" s="183">
        <f>SUM(O33:O38)</f>
        <v>103</v>
      </c>
      <c r="P39" s="38"/>
      <c r="Q39" s="38"/>
      <c r="R39" s="34"/>
      <c r="S39" s="34"/>
      <c r="T39" s="35"/>
      <c r="U39" s="35"/>
      <c r="V39" s="35"/>
      <c r="W39" s="35"/>
      <c r="X39" s="35"/>
      <c r="Y39" s="35"/>
      <c r="Z39" s="35"/>
      <c r="AA39" s="35"/>
      <c r="AB39" s="35"/>
      <c r="AC39" s="35"/>
      <c r="AD39" s="34"/>
      <c r="AE39" s="34"/>
    </row>
    <row r="40" spans="2:35" ht="15" customHeight="1" x14ac:dyDescent="0.35">
      <c r="C40" s="31"/>
      <c r="D40" s="31"/>
      <c r="E40" s="31"/>
      <c r="F40" s="31"/>
      <c r="G40" s="40"/>
      <c r="H40" s="40"/>
      <c r="I40" s="40"/>
      <c r="J40" s="40"/>
      <c r="K40" s="40"/>
      <c r="L40" s="39"/>
      <c r="M40" s="39"/>
      <c r="N40" s="39"/>
      <c r="O40" s="39"/>
      <c r="P40" s="36"/>
      <c r="Q40" s="36"/>
      <c r="R40" s="36"/>
      <c r="S40" s="36"/>
      <c r="T40" s="33"/>
      <c r="U40" s="33"/>
      <c r="V40" s="33"/>
      <c r="W40" s="33"/>
      <c r="X40" s="33"/>
      <c r="Y40" s="33"/>
      <c r="Z40" s="33"/>
      <c r="AA40" s="33"/>
      <c r="AB40" s="33"/>
      <c r="AC40" s="33"/>
      <c r="AD40" s="31"/>
      <c r="AE40" s="31"/>
      <c r="AF40" s="31"/>
      <c r="AG40" s="31"/>
      <c r="AH40" s="31"/>
      <c r="AI40" s="31"/>
    </row>
    <row r="41" spans="2:35" x14ac:dyDescent="0.35">
      <c r="B41" s="31"/>
      <c r="C41" s="31"/>
      <c r="D41" s="31"/>
      <c r="E41" s="31"/>
      <c r="F41" s="31"/>
      <c r="G41" s="31"/>
      <c r="T41" s="30"/>
      <c r="U41" s="30"/>
      <c r="V41" s="30"/>
      <c r="W41" s="30"/>
      <c r="X41" s="30"/>
      <c r="Y41" s="30"/>
      <c r="Z41" s="30"/>
      <c r="AA41" s="30"/>
      <c r="AB41" s="30"/>
      <c r="AC41" s="31"/>
      <c r="AD41" s="31"/>
      <c r="AE41" s="31"/>
      <c r="AF41" s="31"/>
      <c r="AG41" s="31"/>
      <c r="AH41" s="31"/>
      <c r="AI41" s="31"/>
    </row>
    <row r="42" spans="2:35" x14ac:dyDescent="0.35">
      <c r="B42" s="31"/>
      <c r="C42" s="31"/>
      <c r="D42" s="31"/>
      <c r="E42" s="31"/>
      <c r="F42" s="31"/>
      <c r="G42" s="31"/>
      <c r="T42" s="30"/>
      <c r="U42" s="30"/>
      <c r="V42" s="30"/>
      <c r="W42" s="30"/>
      <c r="X42" s="30"/>
      <c r="Y42" s="30"/>
      <c r="Z42" s="30"/>
      <c r="AA42" s="30"/>
      <c r="AB42" s="30"/>
      <c r="AC42" s="31"/>
      <c r="AD42" s="31"/>
      <c r="AE42" s="31"/>
      <c r="AF42" s="31"/>
      <c r="AG42" s="31"/>
      <c r="AH42" s="31"/>
      <c r="AI42" s="31"/>
    </row>
    <row r="43" spans="2:35" x14ac:dyDescent="0.35">
      <c r="B43" s="31"/>
      <c r="C43" s="31"/>
      <c r="D43" s="31"/>
      <c r="E43" s="31"/>
      <c r="F43" s="31"/>
      <c r="T43" s="30"/>
      <c r="U43" s="30"/>
      <c r="V43" s="30"/>
      <c r="W43" s="30"/>
      <c r="X43" s="30"/>
      <c r="Y43" s="30"/>
      <c r="Z43" s="30"/>
      <c r="AA43" s="30"/>
      <c r="AB43" s="30"/>
      <c r="AC43" s="31"/>
      <c r="AD43" s="31"/>
      <c r="AE43" s="31"/>
      <c r="AF43" s="31"/>
      <c r="AG43" s="31"/>
      <c r="AH43" s="31"/>
      <c r="AI43" s="31"/>
    </row>
    <row r="44" spans="2:35" x14ac:dyDescent="0.35">
      <c r="C44" s="31"/>
      <c r="D44" s="31"/>
      <c r="E44" s="31"/>
      <c r="F44" s="31"/>
      <c r="G44" s="31"/>
      <c r="H44" s="29"/>
      <c r="I44" s="29"/>
      <c r="J44" s="29"/>
      <c r="K44" s="31"/>
      <c r="T44" s="30"/>
      <c r="U44" s="30"/>
      <c r="V44" s="30"/>
      <c r="W44" s="30"/>
      <c r="X44" s="30"/>
      <c r="Y44" s="30"/>
      <c r="Z44" s="30"/>
      <c r="AA44" s="30"/>
      <c r="AB44" s="30"/>
      <c r="AC44" s="31"/>
      <c r="AD44" s="31"/>
      <c r="AE44" s="31"/>
      <c r="AF44" s="31"/>
      <c r="AG44" s="31"/>
      <c r="AH44" s="31"/>
      <c r="AI44" s="31"/>
    </row>
    <row r="45" spans="2:35" x14ac:dyDescent="0.35">
      <c r="C45" s="31"/>
      <c r="D45" s="31"/>
      <c r="E45" s="31"/>
      <c r="F45" s="31"/>
      <c r="G45" s="31"/>
      <c r="K45" s="31"/>
      <c r="T45" s="30"/>
      <c r="U45" s="30"/>
      <c r="V45" s="30"/>
      <c r="W45" s="30"/>
      <c r="X45" s="30"/>
      <c r="Y45" s="30"/>
      <c r="Z45" s="30"/>
      <c r="AA45" s="30"/>
      <c r="AB45" s="30"/>
      <c r="AC45" s="31"/>
      <c r="AD45" s="31"/>
      <c r="AE45" s="31"/>
      <c r="AF45" s="31"/>
      <c r="AG45" s="31"/>
      <c r="AH45" s="31"/>
      <c r="AI45" s="31"/>
    </row>
    <row r="46" spans="2:35" x14ac:dyDescent="0.35">
      <c r="C46" s="31"/>
      <c r="D46" s="31"/>
      <c r="E46" s="31"/>
      <c r="F46" s="31"/>
      <c r="G46" s="31"/>
      <c r="K46" s="31"/>
      <c r="T46" s="30"/>
      <c r="U46" s="30"/>
      <c r="V46" s="30"/>
      <c r="W46" s="30"/>
      <c r="X46" s="30"/>
      <c r="Y46" s="30"/>
      <c r="Z46" s="30"/>
      <c r="AA46" s="30"/>
      <c r="AB46" s="30"/>
      <c r="AC46" s="31"/>
      <c r="AD46" s="31"/>
      <c r="AE46" s="31"/>
      <c r="AF46" s="31"/>
      <c r="AG46" s="31"/>
      <c r="AH46" s="31"/>
      <c r="AI46" s="31"/>
    </row>
    <row r="47" spans="2:35" x14ac:dyDescent="0.35">
      <c r="C47" s="31"/>
      <c r="D47" s="31"/>
      <c r="E47" s="31"/>
      <c r="F47" s="31"/>
      <c r="G47" s="31"/>
      <c r="K47" s="31"/>
      <c r="T47" s="30"/>
      <c r="U47" s="30"/>
      <c r="V47" s="30"/>
      <c r="W47" s="30"/>
      <c r="X47" s="30"/>
      <c r="Y47" s="30"/>
      <c r="Z47" s="30"/>
      <c r="AA47" s="30"/>
      <c r="AB47" s="30"/>
      <c r="AC47" s="31"/>
      <c r="AD47" s="31"/>
      <c r="AE47" s="31"/>
      <c r="AF47" s="31"/>
      <c r="AG47" s="31"/>
      <c r="AH47" s="31"/>
      <c r="AI47" s="31"/>
    </row>
    <row r="48" spans="2:35" x14ac:dyDescent="0.35">
      <c r="C48" s="31"/>
      <c r="D48" s="31"/>
      <c r="E48" s="31"/>
      <c r="F48" s="31"/>
      <c r="G48" s="31"/>
      <c r="K48" s="31"/>
      <c r="T48" s="30"/>
      <c r="U48" s="30"/>
      <c r="V48" s="30"/>
      <c r="W48" s="30"/>
      <c r="X48" s="30"/>
      <c r="Y48" s="30"/>
      <c r="Z48" s="30"/>
      <c r="AA48" s="30"/>
      <c r="AB48" s="30"/>
      <c r="AC48" s="31"/>
      <c r="AD48" s="31"/>
      <c r="AE48" s="31"/>
      <c r="AF48" s="31"/>
      <c r="AG48" s="31"/>
      <c r="AH48" s="31"/>
      <c r="AI48" s="31"/>
    </row>
    <row r="49" spans="2:35" x14ac:dyDescent="0.35">
      <c r="C49" s="31"/>
      <c r="D49" s="31"/>
      <c r="E49" s="31"/>
      <c r="F49" s="31"/>
      <c r="G49" s="31"/>
      <c r="K49" s="31"/>
      <c r="T49" s="30"/>
      <c r="U49" s="30"/>
      <c r="V49" s="30"/>
      <c r="W49" s="30"/>
      <c r="X49" s="30"/>
      <c r="Y49" s="30"/>
      <c r="Z49" s="30"/>
      <c r="AA49" s="30"/>
      <c r="AB49" s="30"/>
      <c r="AC49" s="31"/>
      <c r="AD49" s="31"/>
      <c r="AE49" s="31"/>
      <c r="AF49" s="31"/>
      <c r="AG49" s="31"/>
      <c r="AH49" s="31"/>
      <c r="AI49" s="31"/>
    </row>
    <row r="50" spans="2:35" x14ac:dyDescent="0.35">
      <c r="C50" s="31"/>
      <c r="D50" s="31"/>
      <c r="E50" s="31"/>
      <c r="F50" s="31"/>
      <c r="G50" s="31"/>
      <c r="K50" s="31"/>
      <c r="T50" s="30"/>
      <c r="U50" s="30"/>
      <c r="V50" s="30"/>
      <c r="W50" s="30"/>
      <c r="X50" s="30"/>
      <c r="Y50" s="30"/>
      <c r="Z50" s="30"/>
      <c r="AA50" s="30"/>
      <c r="AB50" s="30"/>
      <c r="AC50" s="31"/>
      <c r="AD50" s="31"/>
      <c r="AE50" s="31"/>
      <c r="AF50" s="31"/>
      <c r="AG50" s="31"/>
      <c r="AH50" s="31"/>
      <c r="AI50" s="31"/>
    </row>
    <row r="51" spans="2:35" x14ac:dyDescent="0.35">
      <c r="C51" s="31"/>
      <c r="D51" s="31"/>
      <c r="E51" s="31"/>
      <c r="F51" s="31"/>
      <c r="G51" s="31"/>
      <c r="K51" s="31"/>
      <c r="T51" s="30"/>
      <c r="U51" s="30"/>
      <c r="V51" s="30"/>
      <c r="W51" s="30"/>
      <c r="X51" s="30"/>
      <c r="Y51" s="30"/>
      <c r="Z51" s="30"/>
      <c r="AA51" s="30"/>
      <c r="AB51" s="30"/>
      <c r="AC51" s="31"/>
      <c r="AD51" s="31"/>
      <c r="AE51" s="31"/>
      <c r="AF51" s="31"/>
      <c r="AG51" s="31"/>
      <c r="AH51" s="31"/>
      <c r="AI51" s="31"/>
    </row>
    <row r="52" spans="2:35" x14ac:dyDescent="0.35">
      <c r="C52" s="31"/>
      <c r="D52" s="31"/>
      <c r="E52" s="31"/>
      <c r="F52" s="31"/>
      <c r="G52" s="31"/>
      <c r="K52" s="31"/>
      <c r="T52" s="30"/>
      <c r="U52" s="30"/>
      <c r="V52" s="30"/>
      <c r="W52" s="30"/>
      <c r="X52" s="30"/>
      <c r="Y52" s="30"/>
      <c r="Z52" s="30"/>
      <c r="AA52" s="30"/>
      <c r="AB52" s="30"/>
      <c r="AC52" s="31"/>
      <c r="AD52" s="31"/>
      <c r="AE52" s="31"/>
      <c r="AF52" s="31"/>
      <c r="AG52" s="31"/>
      <c r="AH52" s="31"/>
      <c r="AI52" s="31"/>
    </row>
    <row r="53" spans="2:35" x14ac:dyDescent="0.35">
      <c r="C53" s="31"/>
      <c r="D53" s="31"/>
      <c r="E53" s="31"/>
      <c r="F53" s="31"/>
      <c r="G53" s="31"/>
      <c r="K53" s="31"/>
      <c r="T53" s="30"/>
      <c r="U53" s="30"/>
      <c r="V53" s="30"/>
      <c r="W53" s="30"/>
      <c r="X53" s="30"/>
      <c r="Y53" s="30"/>
      <c r="Z53" s="30"/>
      <c r="AA53" s="30"/>
      <c r="AB53" s="30"/>
      <c r="AC53" s="31"/>
      <c r="AD53" s="31"/>
      <c r="AE53" s="31"/>
    </row>
    <row r="54" spans="2:35" x14ac:dyDescent="0.35">
      <c r="C54" s="31"/>
      <c r="D54" s="31"/>
      <c r="E54" s="31"/>
      <c r="F54" s="31"/>
      <c r="G54" s="31"/>
      <c r="K54" s="31"/>
      <c r="T54" s="30"/>
      <c r="U54" s="30"/>
      <c r="V54" s="30"/>
      <c r="W54" s="30"/>
      <c r="X54" s="30"/>
      <c r="Y54" s="30"/>
      <c r="Z54" s="30"/>
      <c r="AA54" s="30"/>
      <c r="AB54" s="30"/>
      <c r="AC54" s="31"/>
      <c r="AD54" s="31"/>
      <c r="AE54" s="31"/>
    </row>
    <row r="55" spans="2:35" x14ac:dyDescent="0.35">
      <c r="C55" s="31"/>
      <c r="D55" s="31"/>
      <c r="E55" s="31"/>
      <c r="F55" s="31"/>
      <c r="G55" s="31"/>
      <c r="K55" s="31"/>
      <c r="T55" s="30"/>
      <c r="U55" s="30"/>
      <c r="V55" s="30"/>
      <c r="W55" s="30"/>
      <c r="X55" s="30"/>
      <c r="Y55" s="30"/>
      <c r="Z55" s="30"/>
      <c r="AA55" s="30"/>
      <c r="AB55" s="30"/>
      <c r="AC55" s="31"/>
      <c r="AD55" s="31"/>
      <c r="AE55" s="31"/>
    </row>
    <row r="56" spans="2:35" x14ac:dyDescent="0.35">
      <c r="B56" s="31"/>
      <c r="C56" s="31"/>
      <c r="D56" s="31"/>
      <c r="E56" s="31"/>
      <c r="F56" s="31"/>
      <c r="G56" s="31"/>
      <c r="H56" s="29"/>
      <c r="I56" s="29"/>
      <c r="J56" s="29"/>
      <c r="T56" s="30"/>
      <c r="U56" s="30"/>
      <c r="V56" s="30"/>
      <c r="W56" s="30"/>
      <c r="X56" s="30"/>
      <c r="Y56" s="30"/>
      <c r="Z56" s="30"/>
      <c r="AA56" s="30"/>
      <c r="AB56" s="30"/>
      <c r="AC56" s="31"/>
      <c r="AD56" s="31"/>
      <c r="AE56" s="31"/>
    </row>
    <row r="57" spans="2:35" x14ac:dyDescent="0.35">
      <c r="B57" s="31"/>
      <c r="C57" s="31"/>
      <c r="D57" s="31"/>
      <c r="E57" s="31"/>
      <c r="F57" s="31"/>
      <c r="G57" s="31"/>
      <c r="H57" s="29"/>
      <c r="I57" s="29"/>
      <c r="J57" s="29"/>
      <c r="T57" s="30"/>
      <c r="U57" s="30"/>
      <c r="V57" s="30"/>
      <c r="W57" s="30"/>
      <c r="X57" s="30"/>
      <c r="Y57" s="30"/>
      <c r="Z57" s="30"/>
      <c r="AA57" s="30"/>
      <c r="AB57" s="30"/>
      <c r="AC57" s="31"/>
      <c r="AD57" s="31"/>
      <c r="AE57" s="31"/>
    </row>
    <row r="58" spans="2:35" x14ac:dyDescent="0.35">
      <c r="C58" s="31"/>
      <c r="D58" s="31"/>
      <c r="E58" s="31"/>
      <c r="F58" s="31"/>
      <c r="G58" s="31"/>
      <c r="H58" s="29"/>
      <c r="I58" s="29"/>
      <c r="J58" s="29"/>
      <c r="T58" s="30"/>
      <c r="U58" s="30"/>
      <c r="V58" s="30"/>
      <c r="W58" s="30"/>
      <c r="X58" s="30"/>
      <c r="Y58" s="30"/>
      <c r="Z58" s="30"/>
      <c r="AA58" s="30"/>
      <c r="AB58" s="30"/>
      <c r="AC58" s="31"/>
      <c r="AD58" s="31"/>
      <c r="AE58" s="31"/>
    </row>
    <row r="59" spans="2:35" x14ac:dyDescent="0.35">
      <c r="C59" s="31"/>
      <c r="D59" s="31"/>
      <c r="E59" s="31"/>
      <c r="F59" s="31"/>
      <c r="G59" s="31"/>
      <c r="K59" s="31"/>
      <c r="T59" s="30"/>
      <c r="U59" s="30"/>
      <c r="V59" s="30"/>
      <c r="W59" s="30"/>
      <c r="X59" s="30"/>
      <c r="Y59" s="30"/>
      <c r="Z59" s="30"/>
      <c r="AA59" s="30"/>
      <c r="AB59" s="30"/>
      <c r="AC59" s="31"/>
      <c r="AD59" s="31"/>
      <c r="AE59" s="31"/>
    </row>
    <row r="60" spans="2:35" x14ac:dyDescent="0.35">
      <c r="C60" s="31"/>
      <c r="D60" s="31"/>
      <c r="E60" s="31"/>
      <c r="F60" s="31"/>
      <c r="G60" s="31"/>
      <c r="K60" s="31"/>
      <c r="Z60" s="31"/>
      <c r="AA60" s="31"/>
      <c r="AB60" s="31"/>
      <c r="AC60" s="31"/>
      <c r="AD60" s="31"/>
      <c r="AE60" s="31"/>
    </row>
    <row r="61" spans="2:35" x14ac:dyDescent="0.35">
      <c r="C61" s="31"/>
      <c r="D61" s="31"/>
      <c r="E61" s="31"/>
      <c r="F61" s="31"/>
      <c r="G61" s="31"/>
      <c r="K61" s="31"/>
      <c r="Z61" s="31"/>
      <c r="AA61" s="31"/>
      <c r="AB61" s="31"/>
      <c r="AC61" s="31"/>
      <c r="AD61" s="31"/>
      <c r="AE61" s="31"/>
    </row>
    <row r="62" spans="2:35" x14ac:dyDescent="0.35">
      <c r="C62" s="31"/>
      <c r="D62" s="31"/>
      <c r="E62" s="31"/>
      <c r="F62" s="31"/>
      <c r="G62" s="31"/>
      <c r="K62" s="31"/>
      <c r="Z62" s="31"/>
      <c r="AA62" s="31"/>
      <c r="AB62" s="31"/>
      <c r="AC62" s="31"/>
      <c r="AD62" s="31"/>
      <c r="AE62" s="31"/>
    </row>
    <row r="63" spans="2:35" x14ac:dyDescent="0.35">
      <c r="C63" s="31"/>
      <c r="D63" s="31"/>
      <c r="E63" s="31"/>
      <c r="F63" s="31"/>
      <c r="G63" s="31"/>
      <c r="K63" s="31"/>
      <c r="Z63" s="31"/>
      <c r="AA63" s="31"/>
      <c r="AB63" s="31"/>
      <c r="AC63" s="31"/>
      <c r="AD63" s="31"/>
      <c r="AE63" s="31"/>
    </row>
    <row r="64" spans="2:35" x14ac:dyDescent="0.35">
      <c r="C64" s="31"/>
      <c r="D64" s="31"/>
      <c r="E64" s="31"/>
      <c r="F64" s="31"/>
      <c r="G64" s="31"/>
      <c r="K64" s="31"/>
      <c r="Z64" s="31"/>
      <c r="AA64" s="31"/>
      <c r="AB64" s="31"/>
      <c r="AC64" s="31"/>
      <c r="AD64" s="31"/>
      <c r="AE64" s="31"/>
    </row>
    <row r="65" spans="3:31" x14ac:dyDescent="0.35">
      <c r="C65" s="31"/>
      <c r="D65" s="31"/>
      <c r="E65" s="31"/>
      <c r="F65" s="31"/>
      <c r="G65" s="31"/>
      <c r="K65" s="31"/>
      <c r="Z65" s="31"/>
      <c r="AA65" s="31"/>
      <c r="AB65" s="31"/>
      <c r="AC65" s="31"/>
      <c r="AD65" s="31"/>
      <c r="AE65" s="31"/>
    </row>
    <row r="66" spans="3:31" x14ac:dyDescent="0.35">
      <c r="C66" s="31"/>
      <c r="D66" s="31"/>
      <c r="E66" s="31"/>
      <c r="F66" s="31"/>
      <c r="G66" s="31"/>
      <c r="K66" s="31"/>
      <c r="Z66" s="31"/>
      <c r="AA66" s="31"/>
      <c r="AB66" s="31"/>
      <c r="AC66" s="31"/>
      <c r="AD66" s="31"/>
      <c r="AE66" s="31"/>
    </row>
    <row r="67" spans="3:31" x14ac:dyDescent="0.35">
      <c r="C67" s="31"/>
      <c r="D67" s="31"/>
      <c r="E67" s="31"/>
      <c r="F67" s="31"/>
      <c r="G67" s="31"/>
      <c r="K67" s="31"/>
      <c r="Z67" s="31"/>
      <c r="AA67" s="31"/>
      <c r="AB67" s="31"/>
      <c r="AC67" s="31"/>
      <c r="AD67" s="31"/>
      <c r="AE67" s="31"/>
    </row>
    <row r="68" spans="3:31" x14ac:dyDescent="0.35">
      <c r="C68" s="31"/>
      <c r="D68" s="31"/>
      <c r="E68" s="31"/>
      <c r="F68" s="31"/>
      <c r="G68" s="31"/>
      <c r="K68" s="31"/>
      <c r="Z68" s="31"/>
      <c r="AA68" s="31"/>
      <c r="AB68" s="31"/>
      <c r="AC68" s="31"/>
      <c r="AD68" s="31"/>
      <c r="AE68" s="31"/>
    </row>
    <row r="69" spans="3:31" x14ac:dyDescent="0.35">
      <c r="C69" s="31"/>
      <c r="D69" s="31"/>
      <c r="E69" s="31"/>
      <c r="F69" s="31"/>
      <c r="G69" s="31"/>
      <c r="K69" s="31"/>
      <c r="Z69" s="31"/>
      <c r="AA69" s="31"/>
      <c r="AB69" s="31"/>
      <c r="AC69" s="31"/>
      <c r="AD69" s="31"/>
      <c r="AE69" s="31"/>
    </row>
    <row r="70" spans="3:31" x14ac:dyDescent="0.35">
      <c r="C70" s="31"/>
      <c r="D70" s="31"/>
      <c r="E70" s="31"/>
      <c r="F70" s="31"/>
      <c r="G70" s="31"/>
      <c r="K70" s="31"/>
      <c r="Z70" s="31"/>
      <c r="AA70" s="31"/>
      <c r="AB70" s="31"/>
      <c r="AC70" s="31"/>
      <c r="AD70" s="31"/>
      <c r="AE70" s="31"/>
    </row>
    <row r="71" spans="3:31" x14ac:dyDescent="0.35">
      <c r="C71" s="31"/>
      <c r="D71" s="31"/>
      <c r="E71" s="31"/>
      <c r="F71" s="31"/>
      <c r="G71" s="31"/>
      <c r="K71" s="31"/>
      <c r="Z71" s="31"/>
      <c r="AA71" s="31"/>
      <c r="AB71" s="31"/>
      <c r="AC71" s="31"/>
      <c r="AD71" s="31"/>
      <c r="AE71" s="31"/>
    </row>
    <row r="72" spans="3:31" x14ac:dyDescent="0.35">
      <c r="C72" s="31"/>
      <c r="D72" s="31"/>
      <c r="E72" s="31"/>
      <c r="F72" s="31"/>
      <c r="K72" s="31"/>
      <c r="Z72" s="31"/>
      <c r="AA72" s="31"/>
      <c r="AB72" s="31"/>
      <c r="AC72" s="31"/>
      <c r="AD72" s="31"/>
      <c r="AE72" s="31"/>
    </row>
    <row r="73" spans="3:31" x14ac:dyDescent="0.35">
      <c r="C73" s="31"/>
      <c r="D73" s="31"/>
      <c r="E73" s="31"/>
      <c r="F73" s="31"/>
      <c r="K73" s="31"/>
      <c r="Z73" s="31"/>
      <c r="AA73" s="31"/>
      <c r="AB73" s="31"/>
      <c r="AC73" s="31"/>
      <c r="AD73" s="31"/>
      <c r="AE73" s="31"/>
    </row>
    <row r="74" spans="3:31" x14ac:dyDescent="0.35">
      <c r="C74" s="31"/>
      <c r="D74" s="31"/>
      <c r="E74" s="31"/>
      <c r="F74" s="31"/>
      <c r="K74" s="31"/>
      <c r="Z74" s="31"/>
      <c r="AA74" s="31"/>
      <c r="AB74" s="31"/>
      <c r="AC74" s="31"/>
      <c r="AD74" s="31"/>
      <c r="AE74" s="31"/>
    </row>
    <row r="75" spans="3:31" x14ac:dyDescent="0.35">
      <c r="C75" s="31"/>
      <c r="D75" s="31"/>
      <c r="E75" s="31"/>
      <c r="F75" s="31"/>
      <c r="Z75" s="31"/>
      <c r="AA75" s="31"/>
      <c r="AB75" s="31"/>
      <c r="AC75" s="31"/>
      <c r="AD75" s="31"/>
      <c r="AE75" s="31"/>
    </row>
    <row r="76" spans="3:31" x14ac:dyDescent="0.35">
      <c r="C76" s="31"/>
      <c r="D76" s="31"/>
      <c r="E76" s="31"/>
      <c r="F76" s="31"/>
      <c r="Z76" s="31"/>
      <c r="AA76" s="31"/>
      <c r="AB76" s="31"/>
      <c r="AC76" s="31"/>
      <c r="AD76" s="31"/>
      <c r="AE76" s="31"/>
    </row>
    <row r="77" spans="3:31" x14ac:dyDescent="0.35">
      <c r="C77" s="31"/>
      <c r="D77" s="31"/>
      <c r="E77" s="31"/>
      <c r="F77" s="31"/>
      <c r="Z77" s="31"/>
      <c r="AA77" s="31"/>
      <c r="AB77" s="31"/>
      <c r="AC77" s="31"/>
      <c r="AD77" s="31"/>
      <c r="AE77" s="31"/>
    </row>
    <row r="78" spans="3:31" x14ac:dyDescent="0.35">
      <c r="C78" s="31"/>
      <c r="D78" s="31"/>
      <c r="E78" s="31"/>
      <c r="F78" s="31"/>
      <c r="Z78" s="31"/>
      <c r="AA78" s="31"/>
      <c r="AB78" s="31"/>
      <c r="AC78" s="31"/>
      <c r="AD78" s="31"/>
      <c r="AE78" s="31"/>
    </row>
    <row r="79" spans="3:31" x14ac:dyDescent="0.35">
      <c r="C79" s="31"/>
      <c r="D79" s="31"/>
      <c r="E79" s="31"/>
      <c r="F79" s="31"/>
    </row>
    <row r="80" spans="3:31" x14ac:dyDescent="0.35">
      <c r="C80" s="31"/>
      <c r="D80" s="31"/>
      <c r="E80" s="31"/>
      <c r="F80" s="31"/>
    </row>
    <row r="81" spans="3:6" x14ac:dyDescent="0.35">
      <c r="C81" s="31"/>
      <c r="D81" s="31"/>
      <c r="E81" s="31"/>
      <c r="F81" s="31"/>
    </row>
    <row r="82" spans="3:6" x14ac:dyDescent="0.35">
      <c r="C82" s="31"/>
      <c r="D82" s="31"/>
      <c r="E82" s="31"/>
      <c r="F82" s="31"/>
    </row>
    <row r="83" spans="3:6" x14ac:dyDescent="0.35">
      <c r="C83" s="31"/>
      <c r="D83" s="31"/>
      <c r="E83" s="31"/>
      <c r="F83" s="31"/>
    </row>
    <row r="84" spans="3:6" x14ac:dyDescent="0.35">
      <c r="C84" s="31"/>
      <c r="D84" s="31"/>
      <c r="E84" s="31"/>
      <c r="F84" s="31"/>
    </row>
    <row r="85" spans="3:6" x14ac:dyDescent="0.35">
      <c r="C85" s="31"/>
      <c r="D85" s="31"/>
      <c r="E85" s="31"/>
      <c r="F85" s="31"/>
    </row>
    <row r="86" spans="3:6" x14ac:dyDescent="0.35">
      <c r="C86" s="31"/>
      <c r="D86" s="31"/>
      <c r="E86" s="31"/>
      <c r="F86" s="31"/>
    </row>
    <row r="87" spans="3:6" x14ac:dyDescent="0.35">
      <c r="C87" s="31"/>
      <c r="D87" s="31"/>
      <c r="E87" s="31"/>
      <c r="F87" s="31"/>
    </row>
  </sheetData>
  <sheetProtection algorithmName="SHA-512" hashValue="Q2aDYZEaCSVuKg7w1V0vfNpH+U15WBjw0K1TlRRmM9k1630sq8WG1v2S4JpVCA8KlzShEStWTMI2P0NtkQCAWw==" saltValue="SmiWptNweV2MfBPKdliYMg==" spinCount="100000" sheet="1" selectLockedCells="1" selectUnlockedCells="1"/>
  <mergeCells count="7">
    <mergeCell ref="P26:P27"/>
    <mergeCell ref="C2:K3"/>
    <mergeCell ref="D31:F31"/>
    <mergeCell ref="C31:C32"/>
    <mergeCell ref="K31:K32"/>
    <mergeCell ref="J31:J32"/>
    <mergeCell ref="B5:M6"/>
  </mergeCells>
  <conditionalFormatting sqref="D33:E33">
    <cfRule type="dataBar" priority="11">
      <dataBar>
        <cfvo type="min"/>
        <cfvo type="max"/>
        <color theme="2"/>
      </dataBar>
      <extLst>
        <ext xmlns:x14="http://schemas.microsoft.com/office/spreadsheetml/2009/9/main" uri="{B025F937-C7B1-47D3-B67F-A62EFF666E3E}">
          <x14:id>{9F1BBDA2-42CF-4870-BC31-6950768D5B2E}</x14:id>
        </ext>
      </extLst>
    </cfRule>
  </conditionalFormatting>
  <conditionalFormatting sqref="D34:E34">
    <cfRule type="dataBar" priority="10">
      <dataBar>
        <cfvo type="min"/>
        <cfvo type="max"/>
        <color theme="2"/>
      </dataBar>
      <extLst>
        <ext xmlns:x14="http://schemas.microsoft.com/office/spreadsheetml/2009/9/main" uri="{B025F937-C7B1-47D3-B67F-A62EFF666E3E}">
          <x14:id>{858FAF06-12F6-410D-BA4B-51C970D09B29}</x14:id>
        </ext>
      </extLst>
    </cfRule>
  </conditionalFormatting>
  <conditionalFormatting sqref="D35:E35">
    <cfRule type="dataBar" priority="9">
      <dataBar>
        <cfvo type="min"/>
        <cfvo type="max"/>
        <color theme="2"/>
      </dataBar>
      <extLst>
        <ext xmlns:x14="http://schemas.microsoft.com/office/spreadsheetml/2009/9/main" uri="{B025F937-C7B1-47D3-B67F-A62EFF666E3E}">
          <x14:id>{65B2A085-6781-4313-9EC4-CAAD64FE8ECE}</x14:id>
        </ext>
      </extLst>
    </cfRule>
  </conditionalFormatting>
  <conditionalFormatting sqref="D36:E36">
    <cfRule type="dataBar" priority="8">
      <dataBar>
        <cfvo type="min"/>
        <cfvo type="max"/>
        <color theme="2"/>
      </dataBar>
      <extLst>
        <ext xmlns:x14="http://schemas.microsoft.com/office/spreadsheetml/2009/9/main" uri="{B025F937-C7B1-47D3-B67F-A62EFF666E3E}">
          <x14:id>{E7EBB855-916F-4207-ABA3-F9740DCE49B7}</x14:id>
        </ext>
      </extLst>
    </cfRule>
  </conditionalFormatting>
  <conditionalFormatting sqref="D37:E37">
    <cfRule type="dataBar" priority="7">
      <dataBar>
        <cfvo type="min"/>
        <cfvo type="max"/>
        <color theme="2"/>
      </dataBar>
      <extLst>
        <ext xmlns:x14="http://schemas.microsoft.com/office/spreadsheetml/2009/9/main" uri="{B025F937-C7B1-47D3-B67F-A62EFF666E3E}">
          <x14:id>{95A34E89-55B1-4A9B-AE65-4EEDE04A6876}</x14:id>
        </ext>
      </extLst>
    </cfRule>
  </conditionalFormatting>
  <conditionalFormatting sqref="D38:E38">
    <cfRule type="dataBar" priority="6">
      <dataBar>
        <cfvo type="min"/>
        <cfvo type="max"/>
        <color theme="2"/>
      </dataBar>
      <extLst>
        <ext xmlns:x14="http://schemas.microsoft.com/office/spreadsheetml/2009/9/main" uri="{B025F937-C7B1-47D3-B67F-A62EFF666E3E}">
          <x14:id>{30FABE33-45FA-400C-ACE6-932C6E3F9C2B}</x14:id>
        </ext>
      </extLst>
    </cfRule>
  </conditionalFormatting>
  <conditionalFormatting sqref="F34 K34 H34:I34">
    <cfRule type="dataBar" priority="62">
      <dataBar>
        <cfvo type="min"/>
        <cfvo type="max"/>
        <color theme="2"/>
      </dataBar>
      <extLst>
        <ext xmlns:x14="http://schemas.microsoft.com/office/spreadsheetml/2009/9/main" uri="{B025F937-C7B1-47D3-B67F-A62EFF666E3E}">
          <x14:id>{657745C0-4D96-4A1A-AD3C-D0A625436348}</x14:id>
        </ext>
      </extLst>
    </cfRule>
  </conditionalFormatting>
  <conditionalFormatting sqref="F35 K35 H35:I35">
    <cfRule type="dataBar" priority="63">
      <dataBar>
        <cfvo type="min"/>
        <cfvo type="max"/>
        <color theme="2"/>
      </dataBar>
      <extLst>
        <ext xmlns:x14="http://schemas.microsoft.com/office/spreadsheetml/2009/9/main" uri="{B025F937-C7B1-47D3-B67F-A62EFF666E3E}">
          <x14:id>{C43CFAC4-1869-44F1-9C71-3C5BF1D58C8F}</x14:id>
        </ext>
      </extLst>
    </cfRule>
  </conditionalFormatting>
  <conditionalFormatting sqref="F36 K36 H36:I36">
    <cfRule type="dataBar" priority="64">
      <dataBar>
        <cfvo type="min"/>
        <cfvo type="max"/>
        <color theme="2"/>
      </dataBar>
      <extLst>
        <ext xmlns:x14="http://schemas.microsoft.com/office/spreadsheetml/2009/9/main" uri="{B025F937-C7B1-47D3-B67F-A62EFF666E3E}">
          <x14:id>{E5A9913A-4931-4304-9656-B09097024898}</x14:id>
        </ext>
      </extLst>
    </cfRule>
  </conditionalFormatting>
  <conditionalFormatting sqref="F37 K37 H37:I37">
    <cfRule type="dataBar" priority="65">
      <dataBar>
        <cfvo type="min"/>
        <cfvo type="max"/>
        <color theme="2"/>
      </dataBar>
      <extLst>
        <ext xmlns:x14="http://schemas.microsoft.com/office/spreadsheetml/2009/9/main" uri="{B025F937-C7B1-47D3-B67F-A62EFF666E3E}">
          <x14:id>{47D12EEF-1E7C-443B-98EE-26AEB387CDA1}</x14:id>
        </ext>
      </extLst>
    </cfRule>
  </conditionalFormatting>
  <conditionalFormatting sqref="F38 K38 H38:I38">
    <cfRule type="dataBar" priority="66">
      <dataBar>
        <cfvo type="min"/>
        <cfvo type="max"/>
        <color theme="2"/>
      </dataBar>
      <extLst>
        <ext xmlns:x14="http://schemas.microsoft.com/office/spreadsheetml/2009/9/main" uri="{B025F937-C7B1-47D3-B67F-A62EFF666E3E}">
          <x14:id>{9BC54A58-BBA8-4FC3-B5A3-D76F5738DB8F}</x14:id>
        </ext>
      </extLst>
    </cfRule>
  </conditionalFormatting>
  <conditionalFormatting sqref="F33:I33 K33 G34:G38">
    <cfRule type="dataBar" priority="311">
      <dataBar>
        <cfvo type="min"/>
        <cfvo type="max"/>
        <color theme="2"/>
      </dataBar>
      <extLst>
        <ext xmlns:x14="http://schemas.microsoft.com/office/spreadsheetml/2009/9/main" uri="{B025F937-C7B1-47D3-B67F-A62EFF666E3E}">
          <x14:id>{4BE4F2C4-9230-4C51-9E97-D225E9A5D985}</x14:id>
        </ext>
      </extLst>
    </cfRule>
  </conditionalFormatting>
  <conditionalFormatting sqref="J33:J39">
    <cfRule type="dataBar" priority="314">
      <dataBar>
        <cfvo type="min"/>
        <cfvo type="max"/>
        <color theme="2"/>
      </dataBar>
      <extLst>
        <ext xmlns:x14="http://schemas.microsoft.com/office/spreadsheetml/2009/9/main" uri="{B025F937-C7B1-47D3-B67F-A62EFF666E3E}">
          <x14:id>{03DE95BE-3C15-45C9-A3A3-FEF229BCD047}</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9F1BBDA2-42CF-4870-BC31-6950768D5B2E}">
            <x14:dataBar minLength="0" maxLength="100" gradient="0">
              <x14:cfvo type="autoMin"/>
              <x14:cfvo type="autoMax"/>
              <x14:negativeFillColor rgb="FFFF0000"/>
              <x14:axisColor rgb="FF000000"/>
            </x14:dataBar>
          </x14:cfRule>
          <xm:sqref>D33:E33</xm:sqref>
        </x14:conditionalFormatting>
        <x14:conditionalFormatting xmlns:xm="http://schemas.microsoft.com/office/excel/2006/main">
          <x14:cfRule type="dataBar" id="{858FAF06-12F6-410D-BA4B-51C970D09B29}">
            <x14:dataBar minLength="0" maxLength="100" gradient="0">
              <x14:cfvo type="autoMin"/>
              <x14:cfvo type="autoMax"/>
              <x14:negativeFillColor rgb="FFFF0000"/>
              <x14:axisColor rgb="FF000000"/>
            </x14:dataBar>
          </x14:cfRule>
          <xm:sqref>D34:E34</xm:sqref>
        </x14:conditionalFormatting>
        <x14:conditionalFormatting xmlns:xm="http://schemas.microsoft.com/office/excel/2006/main">
          <x14:cfRule type="dataBar" id="{65B2A085-6781-4313-9EC4-CAAD64FE8ECE}">
            <x14:dataBar minLength="0" maxLength="100" gradient="0">
              <x14:cfvo type="autoMin"/>
              <x14:cfvo type="autoMax"/>
              <x14:negativeFillColor rgb="FFFF0000"/>
              <x14:axisColor rgb="FF000000"/>
            </x14:dataBar>
          </x14:cfRule>
          <xm:sqref>D35:E35</xm:sqref>
        </x14:conditionalFormatting>
        <x14:conditionalFormatting xmlns:xm="http://schemas.microsoft.com/office/excel/2006/main">
          <x14:cfRule type="dataBar" id="{E7EBB855-916F-4207-ABA3-F9740DCE49B7}">
            <x14:dataBar minLength="0" maxLength="100" gradient="0">
              <x14:cfvo type="autoMin"/>
              <x14:cfvo type="autoMax"/>
              <x14:negativeFillColor rgb="FFFF0000"/>
              <x14:axisColor rgb="FF000000"/>
            </x14:dataBar>
          </x14:cfRule>
          <xm:sqref>D36:E36</xm:sqref>
        </x14:conditionalFormatting>
        <x14:conditionalFormatting xmlns:xm="http://schemas.microsoft.com/office/excel/2006/main">
          <x14:cfRule type="dataBar" id="{95A34E89-55B1-4A9B-AE65-4EEDE04A6876}">
            <x14:dataBar minLength="0" maxLength="100" gradient="0">
              <x14:cfvo type="autoMin"/>
              <x14:cfvo type="autoMax"/>
              <x14:negativeFillColor rgb="FFFF0000"/>
              <x14:axisColor rgb="FF000000"/>
            </x14:dataBar>
          </x14:cfRule>
          <xm:sqref>D37:E37</xm:sqref>
        </x14:conditionalFormatting>
        <x14:conditionalFormatting xmlns:xm="http://schemas.microsoft.com/office/excel/2006/main">
          <x14:cfRule type="dataBar" id="{30FABE33-45FA-400C-ACE6-932C6E3F9C2B}">
            <x14:dataBar minLength="0" maxLength="100" gradient="0">
              <x14:cfvo type="autoMin"/>
              <x14:cfvo type="autoMax"/>
              <x14:negativeFillColor rgb="FFFF0000"/>
              <x14:axisColor rgb="FF000000"/>
            </x14:dataBar>
          </x14:cfRule>
          <xm:sqref>D38:E38</xm:sqref>
        </x14:conditionalFormatting>
        <x14:conditionalFormatting xmlns:xm="http://schemas.microsoft.com/office/excel/2006/main">
          <x14:cfRule type="dataBar" id="{657745C0-4D96-4A1A-AD3C-D0A625436348}">
            <x14:dataBar minLength="0" maxLength="100" gradient="0">
              <x14:cfvo type="autoMin"/>
              <x14:cfvo type="autoMax"/>
              <x14:negativeFillColor rgb="FFFF0000"/>
              <x14:axisColor rgb="FF000000"/>
            </x14:dataBar>
          </x14:cfRule>
          <xm:sqref>F34 K34 H34:I34</xm:sqref>
        </x14:conditionalFormatting>
        <x14:conditionalFormatting xmlns:xm="http://schemas.microsoft.com/office/excel/2006/main">
          <x14:cfRule type="dataBar" id="{C43CFAC4-1869-44F1-9C71-3C5BF1D58C8F}">
            <x14:dataBar minLength="0" maxLength="100" gradient="0">
              <x14:cfvo type="autoMin"/>
              <x14:cfvo type="autoMax"/>
              <x14:negativeFillColor rgb="FFFF0000"/>
              <x14:axisColor rgb="FF000000"/>
            </x14:dataBar>
          </x14:cfRule>
          <xm:sqref>F35 K35 H35:I35</xm:sqref>
        </x14:conditionalFormatting>
        <x14:conditionalFormatting xmlns:xm="http://schemas.microsoft.com/office/excel/2006/main">
          <x14:cfRule type="dataBar" id="{E5A9913A-4931-4304-9656-B09097024898}">
            <x14:dataBar minLength="0" maxLength="100" gradient="0">
              <x14:cfvo type="autoMin"/>
              <x14:cfvo type="autoMax"/>
              <x14:negativeFillColor rgb="FFFF0000"/>
              <x14:axisColor rgb="FF000000"/>
            </x14:dataBar>
          </x14:cfRule>
          <xm:sqref>F36 K36 H36:I36</xm:sqref>
        </x14:conditionalFormatting>
        <x14:conditionalFormatting xmlns:xm="http://schemas.microsoft.com/office/excel/2006/main">
          <x14:cfRule type="dataBar" id="{47D12EEF-1E7C-443B-98EE-26AEB387CDA1}">
            <x14:dataBar minLength="0" maxLength="100" gradient="0">
              <x14:cfvo type="autoMin"/>
              <x14:cfvo type="autoMax"/>
              <x14:negativeFillColor rgb="FFFF0000"/>
              <x14:axisColor rgb="FF000000"/>
            </x14:dataBar>
          </x14:cfRule>
          <xm:sqref>F37 K37 H37:I37</xm:sqref>
        </x14:conditionalFormatting>
        <x14:conditionalFormatting xmlns:xm="http://schemas.microsoft.com/office/excel/2006/main">
          <x14:cfRule type="dataBar" id="{9BC54A58-BBA8-4FC3-B5A3-D76F5738DB8F}">
            <x14:dataBar minLength="0" maxLength="100" gradient="0">
              <x14:cfvo type="autoMin"/>
              <x14:cfvo type="autoMax"/>
              <x14:negativeFillColor rgb="FFFF0000"/>
              <x14:axisColor rgb="FF000000"/>
            </x14:dataBar>
          </x14:cfRule>
          <xm:sqref>F38 K38 H38:I38</xm:sqref>
        </x14:conditionalFormatting>
        <x14:conditionalFormatting xmlns:xm="http://schemas.microsoft.com/office/excel/2006/main">
          <x14:cfRule type="dataBar" id="{4BE4F2C4-9230-4C51-9E97-D225E9A5D985}">
            <x14:dataBar minLength="0" maxLength="100" gradient="0">
              <x14:cfvo type="autoMin"/>
              <x14:cfvo type="autoMax"/>
              <x14:negativeFillColor rgb="FFFF0000"/>
              <x14:axisColor rgb="FF000000"/>
            </x14:dataBar>
          </x14:cfRule>
          <xm:sqref>F33:I33 K33 G34:G38</xm:sqref>
        </x14:conditionalFormatting>
        <x14:conditionalFormatting xmlns:xm="http://schemas.microsoft.com/office/excel/2006/main">
          <x14:cfRule type="dataBar" id="{03DE95BE-3C15-45C9-A3A3-FEF229BCD047}">
            <x14:dataBar minLength="0" maxLength="100" gradient="0">
              <x14:cfvo type="autoMin"/>
              <x14:cfvo type="autoMax"/>
              <x14:negativeFillColor rgb="FFFF0000"/>
              <x14:axisColor rgb="FF000000"/>
            </x14:dataBar>
          </x14:cfRule>
          <xm:sqref>J33:J39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9DFC-73DE-4BBD-B5DE-AD5BB3173EBB}">
  <sheetPr codeName="Sheet4">
    <tabColor theme="5" tint="0.39997558519241921"/>
    <pageSetUpPr fitToPage="1"/>
  </sheetPr>
  <dimension ref="B1:AD45"/>
  <sheetViews>
    <sheetView topLeftCell="A31" zoomScale="115" zoomScaleNormal="115" workbookViewId="0">
      <selection activeCell="P53" sqref="P53"/>
    </sheetView>
  </sheetViews>
  <sheetFormatPr defaultColWidth="8.7265625" defaultRowHeight="14" x14ac:dyDescent="0.3"/>
  <cols>
    <col min="1" max="1" width="0.81640625" style="192" customWidth="1"/>
    <col min="2" max="2" width="3.7265625" style="192" customWidth="1"/>
    <col min="3" max="3" width="3.7265625" style="191" customWidth="1"/>
    <col min="4" max="4" width="3.453125" style="192" customWidth="1"/>
    <col min="5" max="5" width="12" style="192" customWidth="1"/>
    <col min="6" max="6" width="5.81640625" style="192" customWidth="1"/>
    <col min="7" max="7" width="10.453125" style="192" customWidth="1"/>
    <col min="8" max="8" width="1.453125" style="192" customWidth="1"/>
    <col min="9" max="9" width="10.453125" style="192" customWidth="1"/>
    <col min="10" max="10" width="5.81640625" style="192" customWidth="1"/>
    <col min="11" max="11" width="10.453125" style="192" customWidth="1"/>
    <col min="12" max="12" width="1.453125" style="192" customWidth="1"/>
    <col min="13" max="13" width="10.453125" style="192" customWidth="1"/>
    <col min="14" max="14" width="5.81640625" style="192" customWidth="1"/>
    <col min="15" max="15" width="10.453125" style="192" customWidth="1"/>
    <col min="16" max="16" width="1.453125" style="192" customWidth="1"/>
    <col min="17" max="17" width="10.453125" style="192" customWidth="1"/>
    <col min="18" max="18" width="5.81640625" style="192" customWidth="1"/>
    <col min="19" max="19" width="10.453125" style="192" customWidth="1"/>
    <col min="20" max="20" width="1.453125" style="192" customWidth="1"/>
    <col min="21" max="21" width="10.453125" style="192" customWidth="1"/>
    <col min="22" max="22" width="5.81640625" style="192" customWidth="1"/>
    <col min="23" max="24" width="9.453125" style="192" customWidth="1"/>
    <col min="25" max="25" width="9.54296875" style="192" customWidth="1"/>
    <col min="26" max="26" width="9.26953125" style="192" customWidth="1"/>
    <col min="27" max="27" width="7.26953125" style="192" customWidth="1"/>
    <col min="28" max="31" width="9.453125" style="192" customWidth="1"/>
    <col min="32" max="16384" width="8.7265625" style="192"/>
  </cols>
  <sheetData>
    <row r="1" spans="3:27" ht="7.5" customHeight="1" x14ac:dyDescent="0.3"/>
    <row r="2" spans="3:27" ht="7.5" customHeight="1" x14ac:dyDescent="0.3"/>
    <row r="5" spans="3:27" ht="11.25" customHeight="1" x14ac:dyDescent="0.3"/>
    <row r="6" spans="3:27" ht="20" x14ac:dyDescent="0.4">
      <c r="M6" s="295" t="s">
        <v>98</v>
      </c>
      <c r="N6" s="295"/>
      <c r="O6" s="295"/>
      <c r="P6" s="295"/>
    </row>
    <row r="7" spans="3:27" ht="18" customHeight="1" x14ac:dyDescent="0.3">
      <c r="D7" s="193" t="s">
        <v>155</v>
      </c>
      <c r="E7" s="194"/>
      <c r="F7" s="194"/>
      <c r="G7" s="194"/>
      <c r="H7" s="194"/>
      <c r="I7" s="194"/>
      <c r="K7" s="195"/>
      <c r="L7" s="195"/>
      <c r="M7" s="319"/>
      <c r="N7" s="319"/>
      <c r="O7" s="319"/>
      <c r="P7" s="319"/>
      <c r="Q7" s="195"/>
      <c r="R7" s="195"/>
      <c r="S7" s="309" t="str">
        <f ca="1">Message</f>
        <v>Your Name, you have 
211 days to complete 103 chapters &amp; 205 hrs of lectures.
For this you must study for 2:05 hrs and 6:42 hrs respectively on weekdays &amp; weekends.</v>
      </c>
      <c r="T7" s="309"/>
      <c r="U7" s="309"/>
      <c r="V7" s="309"/>
    </row>
    <row r="8" spans="3:27" ht="18.649999999999999" customHeight="1" x14ac:dyDescent="0.3">
      <c r="D8" s="196" t="s">
        <v>120</v>
      </c>
      <c r="E8" s="194"/>
      <c r="F8" s="194"/>
      <c r="G8" s="194"/>
      <c r="H8" s="194"/>
      <c r="I8" s="50">
        <v>2.5</v>
      </c>
      <c r="K8" s="195"/>
      <c r="L8" s="195"/>
      <c r="M8" s="195"/>
      <c r="N8" s="195"/>
      <c r="O8" s="195"/>
      <c r="P8" s="195"/>
      <c r="Q8" s="195"/>
      <c r="R8" s="195"/>
      <c r="S8" s="309"/>
      <c r="T8" s="309"/>
      <c r="U8" s="309"/>
      <c r="V8" s="309"/>
    </row>
    <row r="9" spans="3:27" ht="18.649999999999999" customHeight="1" x14ac:dyDescent="0.3">
      <c r="D9" s="196" t="s">
        <v>121</v>
      </c>
      <c r="E9" s="194"/>
      <c r="F9" s="194"/>
      <c r="G9" s="194"/>
      <c r="H9" s="194"/>
      <c r="I9" s="50">
        <v>8</v>
      </c>
      <c r="K9" s="195"/>
      <c r="L9" s="195"/>
      <c r="M9" s="195"/>
      <c r="N9" s="195"/>
      <c r="O9" s="195"/>
      <c r="P9" s="195"/>
      <c r="Q9" s="195"/>
      <c r="R9" s="195"/>
      <c r="S9" s="309"/>
      <c r="T9" s="309"/>
      <c r="U9" s="309"/>
      <c r="V9" s="309"/>
    </row>
    <row r="10" spans="3:27" ht="18.649999999999999" customHeight="1" x14ac:dyDescent="0.3">
      <c r="D10" s="196" t="s">
        <v>122</v>
      </c>
      <c r="E10" s="194"/>
      <c r="F10" s="194"/>
      <c r="G10" s="194"/>
      <c r="H10" s="194"/>
      <c r="I10" s="50">
        <v>5</v>
      </c>
      <c r="K10" s="195"/>
      <c r="L10" s="195"/>
      <c r="M10" s="195"/>
      <c r="O10" s="195"/>
      <c r="P10" s="195"/>
      <c r="Q10" s="195"/>
      <c r="R10" s="197"/>
      <c r="S10" s="309"/>
      <c r="T10" s="309"/>
      <c r="U10" s="309"/>
      <c r="V10" s="309"/>
    </row>
    <row r="11" spans="3:27" ht="18.649999999999999" customHeight="1" x14ac:dyDescent="0.3">
      <c r="D11" s="196" t="s">
        <v>123</v>
      </c>
      <c r="E11" s="194"/>
      <c r="F11" s="194"/>
      <c r="G11" s="194"/>
      <c r="H11" s="194"/>
      <c r="I11" s="51">
        <v>21</v>
      </c>
      <c r="K11" s="195"/>
      <c r="L11" s="195"/>
      <c r="M11" s="195"/>
      <c r="O11" s="195"/>
      <c r="P11" s="195"/>
      <c r="Q11" s="195"/>
      <c r="R11" s="198"/>
      <c r="S11" s="309"/>
      <c r="T11" s="309"/>
      <c r="U11" s="309"/>
      <c r="V11" s="309"/>
    </row>
    <row r="12" spans="3:27" ht="18.649999999999999" customHeight="1" x14ac:dyDescent="0.3">
      <c r="D12" s="196" t="s">
        <v>144</v>
      </c>
      <c r="E12" s="194"/>
      <c r="F12" s="194"/>
      <c r="G12" s="194"/>
      <c r="H12" s="194"/>
      <c r="I12" s="51">
        <v>5</v>
      </c>
      <c r="K12" s="195"/>
      <c r="L12" s="195"/>
      <c r="M12" s="195"/>
      <c r="O12" s="195"/>
      <c r="P12" s="195"/>
      <c r="Q12" s="195"/>
      <c r="S12" s="309"/>
      <c r="T12" s="309"/>
      <c r="U12" s="309"/>
      <c r="V12" s="309"/>
    </row>
    <row r="14" spans="3:27" s="199" customFormat="1" ht="18.75" customHeight="1" x14ac:dyDescent="0.3">
      <c r="C14" s="191"/>
      <c r="G14" s="299"/>
      <c r="H14" s="299"/>
      <c r="I14" s="299"/>
      <c r="J14" s="200"/>
      <c r="K14" s="200"/>
      <c r="L14" s="200"/>
      <c r="M14" s="201"/>
      <c r="N14" s="202"/>
      <c r="O14" s="203"/>
      <c r="P14" s="204"/>
      <c r="Q14" s="205"/>
      <c r="R14" s="206"/>
    </row>
    <row r="15" spans="3:27" s="199" customFormat="1" ht="15" customHeight="1" x14ac:dyDescent="0.3">
      <c r="C15" s="191"/>
      <c r="J15" s="207"/>
      <c r="K15" s="318"/>
      <c r="L15" s="318"/>
      <c r="M15" s="201"/>
      <c r="N15" s="202"/>
      <c r="O15" s="203"/>
      <c r="P15" s="204"/>
      <c r="Q15" s="205"/>
      <c r="R15" s="206"/>
      <c r="X15" s="208"/>
      <c r="Y15" s="208"/>
      <c r="Z15" s="208"/>
      <c r="AA15" s="192"/>
    </row>
    <row r="16" spans="3:27" s="199" customFormat="1" ht="15" customHeight="1" x14ac:dyDescent="0.3">
      <c r="C16" s="209" t="s">
        <v>124</v>
      </c>
      <c r="D16" s="209"/>
      <c r="F16" s="209"/>
      <c r="J16" s="207"/>
      <c r="K16" s="200"/>
      <c r="L16" s="200"/>
      <c r="M16" s="201"/>
      <c r="N16" s="202"/>
      <c r="O16" s="203"/>
      <c r="P16" s="204"/>
      <c r="Q16" s="205"/>
      <c r="R16" s="206"/>
      <c r="X16" s="210"/>
      <c r="Y16" s="210"/>
      <c r="Z16" s="210"/>
    </row>
    <row r="17" spans="2:30" s="199" customFormat="1" ht="15" customHeight="1" x14ac:dyDescent="0.3">
      <c r="C17" s="211"/>
      <c r="D17" s="212" t="s">
        <v>37</v>
      </c>
      <c r="F17" s="212"/>
      <c r="K17" s="200"/>
      <c r="L17" s="200"/>
      <c r="M17" s="201"/>
      <c r="N17" s="202"/>
      <c r="O17" s="203"/>
      <c r="P17" s="204"/>
      <c r="Q17" s="205"/>
      <c r="R17" s="206"/>
      <c r="X17" s="210"/>
      <c r="Y17" s="210"/>
      <c r="Z17" s="210"/>
    </row>
    <row r="18" spans="2:30" s="199" customFormat="1" ht="15" customHeight="1" x14ac:dyDescent="0.3">
      <c r="C18" s="213"/>
      <c r="D18" s="212" t="s">
        <v>133</v>
      </c>
      <c r="F18" s="212"/>
      <c r="J18" s="200"/>
      <c r="K18" s="200"/>
      <c r="L18" s="200"/>
      <c r="M18" s="201"/>
      <c r="N18" s="202"/>
      <c r="O18" s="203"/>
      <c r="P18" s="204"/>
      <c r="Q18" s="205"/>
      <c r="R18" s="206"/>
      <c r="X18" s="210"/>
      <c r="Y18" s="210"/>
      <c r="Z18" s="210"/>
      <c r="AB18" s="296"/>
      <c r="AC18" s="296"/>
      <c r="AD18" s="207"/>
    </row>
    <row r="19" spans="2:30" s="199" customFormat="1" ht="15" customHeight="1" x14ac:dyDescent="0.3">
      <c r="J19" s="200"/>
      <c r="K19" s="200"/>
      <c r="L19" s="200"/>
      <c r="M19" s="201"/>
      <c r="N19" s="202"/>
      <c r="O19" s="203"/>
      <c r="P19" s="204"/>
      <c r="Q19" s="205"/>
      <c r="R19" s="206"/>
      <c r="X19" s="210"/>
      <c r="Y19" s="210"/>
      <c r="Z19" s="210"/>
      <c r="AB19" s="192"/>
      <c r="AC19" s="212"/>
      <c r="AD19" s="207"/>
    </row>
    <row r="20" spans="2:30" s="199" customFormat="1" ht="15" customHeight="1" x14ac:dyDescent="0.3">
      <c r="C20" s="215" t="s">
        <v>125</v>
      </c>
      <c r="D20" s="214"/>
      <c r="F20" s="214"/>
      <c r="J20" s="200"/>
      <c r="K20" s="200"/>
      <c r="L20" s="200"/>
      <c r="M20" s="201"/>
      <c r="N20" s="202"/>
      <c r="O20" s="203"/>
      <c r="P20" s="204"/>
      <c r="Q20" s="205"/>
      <c r="R20" s="206"/>
      <c r="X20" s="210"/>
      <c r="Y20" s="210"/>
      <c r="Z20" s="210"/>
      <c r="AB20" s="212"/>
    </row>
    <row r="21" spans="2:30" s="199" customFormat="1" ht="16.5" x14ac:dyDescent="0.3">
      <c r="C21" s="216"/>
      <c r="D21" s="212" t="s">
        <v>36</v>
      </c>
      <c r="F21" s="212"/>
      <c r="G21" s="217"/>
      <c r="H21" s="217"/>
      <c r="I21" s="217"/>
      <c r="J21" s="200"/>
      <c r="K21" s="200"/>
      <c r="L21" s="200"/>
      <c r="M21" s="201"/>
      <c r="N21" s="218"/>
      <c r="O21" s="219"/>
      <c r="P21" s="219"/>
      <c r="Q21" s="219"/>
      <c r="R21" s="219"/>
      <c r="S21" s="220"/>
      <c r="T21" s="220"/>
      <c r="U21" s="220"/>
      <c r="V21" s="192"/>
      <c r="Y21" s="192"/>
      <c r="Z21" s="212"/>
      <c r="AA21" s="192"/>
      <c r="AB21" s="212"/>
    </row>
    <row r="22" spans="2:30" s="199" customFormat="1" ht="15" customHeight="1" x14ac:dyDescent="0.3">
      <c r="C22" s="221"/>
      <c r="D22" s="212" t="s">
        <v>134</v>
      </c>
      <c r="F22" s="212"/>
      <c r="G22" s="217"/>
      <c r="H22" s="217"/>
      <c r="I22" s="217"/>
      <c r="J22" s="220"/>
      <c r="K22" s="220"/>
      <c r="L22" s="220"/>
      <c r="M22" s="201"/>
      <c r="N22" s="222"/>
      <c r="O22" s="223"/>
      <c r="P22" s="223"/>
      <c r="Q22" s="205"/>
      <c r="R22" s="223"/>
      <c r="S22" s="220"/>
      <c r="T22" s="220"/>
      <c r="U22" s="220"/>
      <c r="V22" s="192"/>
      <c r="AB22" s="192"/>
      <c r="AC22" s="192"/>
    </row>
    <row r="23" spans="2:30" s="199" customFormat="1" ht="15" customHeight="1" x14ac:dyDescent="0.3">
      <c r="C23" s="191"/>
      <c r="D23" s="192"/>
      <c r="E23" s="192"/>
      <c r="F23" s="192"/>
      <c r="G23" s="220"/>
      <c r="H23" s="220"/>
      <c r="I23" s="220"/>
      <c r="J23" s="200"/>
      <c r="K23" s="200"/>
      <c r="L23" s="200"/>
      <c r="M23" s="201"/>
      <c r="N23" s="224"/>
      <c r="O23" s="204"/>
      <c r="P23" s="204"/>
      <c r="Q23" s="205"/>
      <c r="R23" s="204"/>
      <c r="S23" s="220"/>
      <c r="T23" s="220"/>
      <c r="U23" s="220"/>
      <c r="V23" s="192"/>
      <c r="AB23" s="192"/>
      <c r="AC23" s="192"/>
    </row>
    <row r="24" spans="2:30" s="199" customFormat="1" ht="15" customHeight="1" x14ac:dyDescent="0.3">
      <c r="C24" s="191"/>
      <c r="D24" s="192"/>
      <c r="E24" s="192"/>
      <c r="F24" s="192"/>
      <c r="G24" s="220"/>
      <c r="H24" s="220"/>
      <c r="I24" s="220"/>
      <c r="J24" s="200"/>
      <c r="K24" s="200"/>
      <c r="L24" s="200"/>
      <c r="M24" s="201"/>
      <c r="N24" s="224"/>
      <c r="O24" s="204"/>
      <c r="P24" s="204"/>
      <c r="Q24" s="205"/>
      <c r="R24" s="204"/>
      <c r="S24" s="220"/>
      <c r="T24" s="220"/>
      <c r="U24" s="220"/>
      <c r="V24" s="192"/>
      <c r="AB24" s="192"/>
      <c r="AC24" s="192"/>
    </row>
    <row r="25" spans="2:30" s="199" customFormat="1" ht="15" customHeight="1" x14ac:dyDescent="0.3">
      <c r="C25" s="191"/>
      <c r="D25" s="192"/>
      <c r="E25" s="192"/>
      <c r="F25" s="192"/>
      <c r="G25" s="220"/>
      <c r="H25" s="220"/>
      <c r="I25" s="220"/>
      <c r="J25" s="200"/>
      <c r="K25" s="200"/>
      <c r="L25" s="200"/>
      <c r="M25" s="201"/>
      <c r="N25" s="224"/>
      <c r="O25" s="204"/>
      <c r="P25" s="204"/>
      <c r="Q25" s="205"/>
      <c r="R25" s="204"/>
      <c r="S25" s="220"/>
      <c r="T25" s="220"/>
      <c r="U25" s="220"/>
      <c r="V25" s="192"/>
      <c r="AB25" s="192"/>
      <c r="AC25" s="192"/>
    </row>
    <row r="26" spans="2:30" s="42" customFormat="1" ht="15" customHeight="1" thickBot="1" x14ac:dyDescent="0.35">
      <c r="C26" s="230"/>
      <c r="D26" s="41"/>
      <c r="E26" s="41"/>
      <c r="F26" s="41"/>
      <c r="G26" s="305" t="s">
        <v>145</v>
      </c>
      <c r="H26" s="305"/>
      <c r="I26" s="305"/>
      <c r="J26" s="231"/>
      <c r="K26" s="305" t="s">
        <v>146</v>
      </c>
      <c r="L26" s="305"/>
      <c r="M26" s="305"/>
      <c r="N26" s="232"/>
      <c r="O26" s="305" t="s">
        <v>147</v>
      </c>
      <c r="P26" s="305"/>
      <c r="Q26" s="305"/>
      <c r="R26" s="233"/>
      <c r="S26" s="305" t="s">
        <v>149</v>
      </c>
      <c r="T26" s="305"/>
      <c r="U26" s="305"/>
      <c r="V26" s="41"/>
      <c r="AB26" s="41"/>
      <c r="AC26" s="41"/>
    </row>
    <row r="27" spans="2:30" s="42" customFormat="1" ht="7.5" customHeight="1" thickTop="1" thickBot="1" x14ac:dyDescent="0.35">
      <c r="C27" s="230"/>
      <c r="D27" s="41"/>
      <c r="E27" s="41"/>
      <c r="F27" s="41"/>
      <c r="G27" s="234"/>
      <c r="H27" s="235"/>
      <c r="I27" s="236"/>
      <c r="J27" s="41"/>
      <c r="K27" s="236"/>
      <c r="L27" s="237"/>
      <c r="M27" s="236"/>
      <c r="N27" s="238"/>
      <c r="O27" s="236"/>
      <c r="P27" s="238"/>
      <c r="Q27" s="236"/>
      <c r="R27" s="238"/>
      <c r="S27" s="236"/>
      <c r="T27" s="238"/>
      <c r="U27" s="236"/>
      <c r="V27" s="41"/>
      <c r="W27" s="239"/>
      <c r="X27" s="239"/>
      <c r="Y27" s="41"/>
      <c r="Z27" s="41"/>
      <c r="AA27" s="41"/>
      <c r="AB27" s="41"/>
      <c r="AC27" s="41"/>
    </row>
    <row r="28" spans="2:30" s="240" customFormat="1" ht="11.5" thickTop="1" thickBot="1" x14ac:dyDescent="0.3">
      <c r="D28" s="241"/>
      <c r="E28" s="241"/>
      <c r="F28" s="241"/>
      <c r="G28" s="242" t="s">
        <v>140</v>
      </c>
      <c r="H28" s="243"/>
      <c r="I28" s="242" t="s">
        <v>141</v>
      </c>
      <c r="J28" s="241"/>
      <c r="K28" s="242" t="s">
        <v>140</v>
      </c>
      <c r="L28" s="241"/>
      <c r="M28" s="242" t="s">
        <v>141</v>
      </c>
      <c r="N28" s="244"/>
      <c r="O28" s="242" t="s">
        <v>140</v>
      </c>
      <c r="P28" s="245"/>
      <c r="Q28" s="242" t="s">
        <v>141</v>
      </c>
      <c r="R28" s="245"/>
      <c r="S28" s="242" t="s">
        <v>140</v>
      </c>
      <c r="T28" s="241"/>
      <c r="U28" s="242" t="s">
        <v>141</v>
      </c>
      <c r="V28" s="241"/>
      <c r="AB28" s="241"/>
      <c r="AC28" s="241"/>
    </row>
    <row r="29" spans="2:30" s="42" customFormat="1" ht="21.75" customHeight="1" thickTop="1" x14ac:dyDescent="0.3">
      <c r="B29" s="310" t="s">
        <v>143</v>
      </c>
      <c r="C29" s="311"/>
      <c r="D29" s="300" t="s">
        <v>37</v>
      </c>
      <c r="E29" s="300"/>
      <c r="F29" s="246"/>
      <c r="G29" s="247">
        <f ca="1">Working!D24</f>
        <v>0</v>
      </c>
      <c r="H29" s="248"/>
      <c r="I29" s="249">
        <f ca="1">Working!D29</f>
        <v>0</v>
      </c>
      <c r="J29" s="250"/>
      <c r="K29" s="251">
        <f ca="1">Working!D26</f>
        <v>0</v>
      </c>
      <c r="L29" s="252"/>
      <c r="M29" s="251">
        <f ca="1">Working!D31</f>
        <v>0</v>
      </c>
      <c r="N29" s="253"/>
      <c r="O29" s="251">
        <f ca="1">Working!D27</f>
        <v>0</v>
      </c>
      <c r="P29" s="254"/>
      <c r="Q29" s="251">
        <f ca="1">Working!D32</f>
        <v>0</v>
      </c>
      <c r="R29" s="254"/>
      <c r="S29" s="255">
        <f ca="1">O29+K29</f>
        <v>0</v>
      </c>
      <c r="T29" s="248"/>
      <c r="U29" s="255">
        <f ca="1">Q29+M29</f>
        <v>0</v>
      </c>
      <c r="V29" s="41"/>
      <c r="AB29" s="41"/>
      <c r="AC29" s="41"/>
    </row>
    <row r="30" spans="2:30" s="42" customFormat="1" ht="21.75" customHeight="1" thickBot="1" x14ac:dyDescent="0.35">
      <c r="B30" s="312"/>
      <c r="C30" s="313"/>
      <c r="D30" s="301" t="s">
        <v>36</v>
      </c>
      <c r="E30" s="302"/>
      <c r="F30" s="246"/>
      <c r="G30" s="256">
        <f ca="1">Working!C24</f>
        <v>2.5121951219512191</v>
      </c>
      <c r="H30" s="248"/>
      <c r="I30" s="257">
        <f ca="1">Working!C29</f>
        <v>0.35888501742160278</v>
      </c>
      <c r="J30" s="250"/>
      <c r="K30" s="258">
        <f ca="1">Working!C26</f>
        <v>0.20844738030713644</v>
      </c>
      <c r="L30" s="259"/>
      <c r="M30" s="258">
        <f ca="1">Working!C31</f>
        <v>2.9778197186733777E-2</v>
      </c>
      <c r="N30" s="260"/>
      <c r="O30" s="258">
        <f ca="1">Working!C27</f>
        <v>0.52337398373983735</v>
      </c>
      <c r="P30" s="261"/>
      <c r="Q30" s="258">
        <f ca="1">Working!C32</f>
        <v>7.476771196283391E-2</v>
      </c>
      <c r="R30" s="261"/>
      <c r="S30" s="258">
        <f ca="1">O30+K30</f>
        <v>0.73182136404697373</v>
      </c>
      <c r="T30" s="248"/>
      <c r="U30" s="258">
        <f ca="1">Q30+M30</f>
        <v>0.10454590914956768</v>
      </c>
      <c r="V30" s="41"/>
      <c r="AB30" s="41"/>
      <c r="AC30" s="41"/>
    </row>
    <row r="31" spans="2:30" s="41" customFormat="1" ht="15.65" customHeight="1" thickTop="1" thickBot="1" x14ac:dyDescent="0.35">
      <c r="B31" s="314"/>
      <c r="C31" s="315"/>
      <c r="D31" s="303" t="s">
        <v>55</v>
      </c>
      <c r="E31" s="303"/>
      <c r="F31" s="246"/>
      <c r="G31" s="306">
        <f ca="1">Working!E24</f>
        <v>-1</v>
      </c>
      <c r="H31" s="307"/>
      <c r="I31" s="308"/>
      <c r="J31" s="262"/>
      <c r="K31" s="306">
        <f ca="1">Working!E26</f>
        <v>-1</v>
      </c>
      <c r="L31" s="307"/>
      <c r="M31" s="308"/>
      <c r="N31" s="263"/>
      <c r="O31" s="306">
        <f ca="1">Working!E27</f>
        <v>-1</v>
      </c>
      <c r="P31" s="307"/>
      <c r="Q31" s="308"/>
      <c r="R31" s="233"/>
      <c r="S31" s="306">
        <f ca="1">Working!E25</f>
        <v>-1</v>
      </c>
      <c r="T31" s="307"/>
      <c r="U31" s="308"/>
    </row>
    <row r="32" spans="2:30" s="41" customFormat="1" ht="15" customHeight="1" thickTop="1" thickBot="1" x14ac:dyDescent="0.35">
      <c r="B32" s="316" t="s">
        <v>142</v>
      </c>
      <c r="C32" s="317"/>
      <c r="D32" s="304" t="s">
        <v>40</v>
      </c>
      <c r="E32" s="304"/>
      <c r="F32" s="246"/>
      <c r="G32" s="264">
        <f ca="1">Working!F24</f>
        <v>3.4170616113744074</v>
      </c>
      <c r="H32" s="265"/>
      <c r="I32" s="264">
        <f ca="1">Working!F29</f>
        <v>0.4881516587677725</v>
      </c>
      <c r="J32" s="248"/>
      <c r="K32" s="266">
        <f ca="1">Working!F26</f>
        <v>0.28352795330875907</v>
      </c>
      <c r="L32" s="259"/>
      <c r="M32" s="266">
        <f ca="1">Working!F31</f>
        <v>4.0503993329822727E-2</v>
      </c>
      <c r="N32" s="267"/>
      <c r="O32" s="266">
        <f ca="1">Working!F27</f>
        <v>0.71188783570300163</v>
      </c>
      <c r="P32" s="268"/>
      <c r="Q32" s="266">
        <f ca="1">Working!F32</f>
        <v>0.10169826224328594</v>
      </c>
      <c r="R32" s="268"/>
      <c r="S32" s="266">
        <f ca="1">O32+K32</f>
        <v>0.99541578901176075</v>
      </c>
      <c r="T32" s="248"/>
      <c r="U32" s="266">
        <f ca="1">Q32+M32</f>
        <v>0.14220225557310867</v>
      </c>
    </row>
    <row r="33" spans="2:21" s="41" customFormat="1" ht="15" customHeight="1" thickTop="1" thickBot="1" x14ac:dyDescent="0.35">
      <c r="B33" s="316"/>
      <c r="C33" s="317"/>
      <c r="D33" s="297" t="s">
        <v>93</v>
      </c>
      <c r="E33" s="298"/>
      <c r="F33" s="246"/>
      <c r="G33" s="306" t="str">
        <f ca="1">Working!G24</f>
        <v>+100%</v>
      </c>
      <c r="H33" s="307"/>
      <c r="I33" s="308"/>
      <c r="K33" s="306" t="str">
        <f ca="1">Working!G26</f>
        <v>+100%</v>
      </c>
      <c r="L33" s="307"/>
      <c r="M33" s="308"/>
      <c r="N33" s="263"/>
      <c r="O33" s="306" t="str">
        <f ca="1">Working!G27</f>
        <v>+100%</v>
      </c>
      <c r="P33" s="307"/>
      <c r="Q33" s="308"/>
      <c r="R33" s="233"/>
      <c r="S33" s="306" t="str">
        <f ca="1">Working!G25</f>
        <v>+100%</v>
      </c>
      <c r="T33" s="307"/>
      <c r="U33" s="308"/>
    </row>
    <row r="34" spans="2:21" ht="14.5" thickTop="1" x14ac:dyDescent="0.3">
      <c r="D34" s="225"/>
      <c r="E34" s="225"/>
      <c r="F34" s="225"/>
      <c r="G34" s="225"/>
      <c r="H34" s="225"/>
      <c r="I34" s="225"/>
      <c r="N34" s="226"/>
      <c r="O34" s="204"/>
      <c r="P34" s="204"/>
      <c r="Q34" s="205"/>
      <c r="R34" s="204"/>
    </row>
    <row r="35" spans="2:21" x14ac:dyDescent="0.3">
      <c r="B35" s="192" t="s">
        <v>226</v>
      </c>
      <c r="D35" s="225"/>
      <c r="E35" s="225"/>
      <c r="F35" s="225"/>
      <c r="G35" s="225"/>
      <c r="H35" s="225"/>
      <c r="I35" s="225"/>
      <c r="N35" s="226"/>
      <c r="O35" s="204"/>
      <c r="P35" s="204"/>
      <c r="Q35" s="205"/>
      <c r="R35" s="204"/>
    </row>
    <row r="36" spans="2:21" ht="15" customHeight="1" x14ac:dyDescent="0.3">
      <c r="J36" s="227"/>
      <c r="K36" s="225"/>
      <c r="N36" s="226"/>
      <c r="O36" s="204"/>
      <c r="P36" s="204"/>
      <c r="Q36" s="205"/>
      <c r="R36" s="204"/>
    </row>
    <row r="37" spans="2:21" ht="15" customHeight="1" x14ac:dyDescent="0.3"/>
    <row r="38" spans="2:21" ht="15" customHeight="1" x14ac:dyDescent="0.3"/>
    <row r="39" spans="2:21" ht="15" customHeight="1" x14ac:dyDescent="0.3">
      <c r="O39" s="228"/>
      <c r="Q39" s="229"/>
    </row>
    <row r="40" spans="2:21" ht="15" customHeight="1" x14ac:dyDescent="0.3"/>
    <row r="45" spans="2:21" ht="15" customHeight="1" x14ac:dyDescent="0.3"/>
  </sheetData>
  <sheetProtection algorithmName="SHA-512" hashValue="hPeqipILvSLv266vLGQpeT0Z8Y+YhLjbXgz39pDK4PBw3mD1xdFkdS8Jkpw3d/9gNEnxQOjUNU2MJjkT7UDx2g==" saltValue="0gd9LVtKsc4GMpNwc7Vvlw==" spinCount="100000" sheet="1" selectLockedCells="1" autoFilter="0" pivotTables="0"/>
  <mergeCells count="25">
    <mergeCell ref="O33:Q33"/>
    <mergeCell ref="S7:V12"/>
    <mergeCell ref="B29:C31"/>
    <mergeCell ref="B32:C33"/>
    <mergeCell ref="K15:L15"/>
    <mergeCell ref="G31:I31"/>
    <mergeCell ref="M7:P7"/>
    <mergeCell ref="S31:U31"/>
    <mergeCell ref="S33:U33"/>
    <mergeCell ref="M6:P6"/>
    <mergeCell ref="AB18:AC18"/>
    <mergeCell ref="D33:E33"/>
    <mergeCell ref="G14:I14"/>
    <mergeCell ref="D29:E29"/>
    <mergeCell ref="D30:E30"/>
    <mergeCell ref="D31:E31"/>
    <mergeCell ref="D32:E32"/>
    <mergeCell ref="G26:I26"/>
    <mergeCell ref="K26:M26"/>
    <mergeCell ref="O26:Q26"/>
    <mergeCell ref="S26:U26"/>
    <mergeCell ref="G33:I33"/>
    <mergeCell ref="K31:M31"/>
    <mergeCell ref="K33:M33"/>
    <mergeCell ref="O31:Q31"/>
  </mergeCells>
  <conditionalFormatting sqref="G31">
    <cfRule type="cellIs" dxfId="49" priority="21" operator="greaterThanOrEqual">
      <formula>0.0001</formula>
    </cfRule>
    <cfRule type="cellIs" dxfId="48" priority="22" operator="lessThan">
      <formula>0</formula>
    </cfRule>
  </conditionalFormatting>
  <conditionalFormatting sqref="G33">
    <cfRule type="cellIs" dxfId="47" priority="7" operator="lessThan">
      <formula>0</formula>
    </cfRule>
    <cfRule type="cellIs" dxfId="46" priority="8" operator="greaterThanOrEqual">
      <formula>0.00001</formula>
    </cfRule>
  </conditionalFormatting>
  <conditionalFormatting sqref="K31">
    <cfRule type="cellIs" dxfId="45" priority="13" operator="greaterThanOrEqual">
      <formula>0.0001</formula>
    </cfRule>
    <cfRule type="cellIs" dxfId="44" priority="14" operator="lessThan">
      <formula>0</formula>
    </cfRule>
  </conditionalFormatting>
  <conditionalFormatting sqref="K33">
    <cfRule type="cellIs" dxfId="43" priority="5" operator="lessThan">
      <formula>0</formula>
    </cfRule>
    <cfRule type="cellIs" dxfId="42" priority="6" operator="greaterThanOrEqual">
      <formula>0.00001</formula>
    </cfRule>
  </conditionalFormatting>
  <conditionalFormatting sqref="O31">
    <cfRule type="cellIs" dxfId="41" priority="11" operator="greaterThanOrEqual">
      <formula>0.0001</formula>
    </cfRule>
    <cfRule type="cellIs" dxfId="40" priority="12" operator="lessThan">
      <formula>0</formula>
    </cfRule>
  </conditionalFormatting>
  <conditionalFormatting sqref="O33">
    <cfRule type="cellIs" dxfId="39" priority="3" operator="lessThan">
      <formula>0</formula>
    </cfRule>
    <cfRule type="cellIs" dxfId="38" priority="4" operator="greaterThanOrEqual">
      <formula>0.00001</formula>
    </cfRule>
  </conditionalFormatting>
  <conditionalFormatting sqref="S31">
    <cfRule type="cellIs" dxfId="37" priority="9" operator="greaterThanOrEqual">
      <formula>0.0001</formula>
    </cfRule>
    <cfRule type="cellIs" dxfId="36" priority="10" operator="lessThan">
      <formula>0</formula>
    </cfRule>
  </conditionalFormatting>
  <conditionalFormatting sqref="S33">
    <cfRule type="cellIs" dxfId="35" priority="1" operator="lessThan">
      <formula>0</formula>
    </cfRule>
    <cfRule type="cellIs" dxfId="34" priority="2" operator="greaterThanOrEqual">
      <formula>0.00001</formula>
    </cfRule>
  </conditionalFormatting>
  <dataValidations disablePrompts="1" count="2">
    <dataValidation type="whole" operator="greaterThan" allowBlank="1" showInputMessage="1" showErrorMessage="1" errorTitle="Incorrect Input" error="Please enter the no. of days as a numerical value only" promptTitle="No. of days" prompt="Advisable to keep a at least 21 days for revision. You may choose a lower number of days. You shall need to cover the mocks in the same time frame." sqref="I11:I12" xr:uid="{BEADF95C-0856-4486-93F3-A6CCE19C1CDE}">
      <formula1>0</formula1>
    </dataValidation>
    <dataValidation type="decimal" operator="greaterThan" allowBlank="1" showInputMessage="1" showErrorMessage="1" errorTitle="Inccorect Input" error="Please enter the No. of hours as a numerical value only" sqref="I8:I10" xr:uid="{5AB053D5-4296-4D78-8FDF-F56DFF018DB2}">
      <formula1>0</formula1>
    </dataValidation>
  </dataValidations>
  <pageMargins left="0.23622047244094491" right="0.23622047244094491" top="0.74803149606299213" bottom="0.74803149606299213" header="0.31496062992125984" footer="0.31496062992125984"/>
  <pageSetup paperSize="9" scale="65" orientation="portrait" r:id="rId1"/>
  <ignoredErrors>
    <ignoredError sqref="S31" formula="1"/>
  </ignoredErrors>
  <drawing r:id="rId2"/>
  <legacy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2962-0C4F-4E76-AA66-433D4414EB8C}">
  <sheetPr codeName="Sheet5"/>
  <dimension ref="B2:N100"/>
  <sheetViews>
    <sheetView showGridLines="0" showZeros="0" topLeftCell="A52" zoomScale="70" zoomScaleNormal="70" workbookViewId="0">
      <selection activeCell="B98" sqref="B98"/>
    </sheetView>
  </sheetViews>
  <sheetFormatPr defaultColWidth="8.7265625" defaultRowHeight="14" x14ac:dyDescent="0.3"/>
  <cols>
    <col min="1" max="1" width="8.7265625" style="88"/>
    <col min="2" max="2" width="13.36328125" style="88" bestFit="1" customWidth="1"/>
    <col min="3" max="3" width="20.26953125" style="88" bestFit="1" customWidth="1"/>
    <col min="4" max="4" width="9.26953125" style="88" customWidth="1"/>
    <col min="5" max="5" width="22.453125" style="88" customWidth="1"/>
    <col min="6" max="6" width="9.54296875" style="88" customWidth="1"/>
    <col min="7" max="7" width="15.81640625" style="88" customWidth="1"/>
    <col min="8" max="8" width="10.26953125" style="88" customWidth="1"/>
    <col min="9" max="9" width="8.7265625" style="88"/>
    <col min="10" max="10" width="15.54296875" style="88" bestFit="1" customWidth="1"/>
    <col min="11" max="11" width="24.81640625" style="111" bestFit="1" customWidth="1"/>
    <col min="12" max="13" width="9.1796875" style="111"/>
    <col min="14" max="14" width="26.7265625" style="88" bestFit="1" customWidth="1"/>
    <col min="15" max="16384" width="8.7265625" style="88"/>
  </cols>
  <sheetData>
    <row r="2" spans="2:14" x14ac:dyDescent="0.3">
      <c r="B2" s="87" t="s">
        <v>113</v>
      </c>
      <c r="C2" s="87"/>
      <c r="E2" s="89" t="s">
        <v>46</v>
      </c>
      <c r="F2" s="89" t="s">
        <v>48</v>
      </c>
      <c r="G2" s="89" t="s">
        <v>51</v>
      </c>
      <c r="H2" s="89" t="s">
        <v>50</v>
      </c>
      <c r="I2" s="89" t="s">
        <v>47</v>
      </c>
      <c r="J2" s="89" t="s">
        <v>49</v>
      </c>
      <c r="K2" s="90" t="s">
        <v>45</v>
      </c>
      <c r="L2" s="88"/>
      <c r="M2" s="88"/>
    </row>
    <row r="3" spans="2:14" ht="15.5" x14ac:dyDescent="0.3">
      <c r="B3" s="91" t="s">
        <v>53</v>
      </c>
      <c r="C3" s="15">
        <f>'⏱ Input'!R4</f>
        <v>8.5463425925925947</v>
      </c>
      <c r="D3" s="92"/>
      <c r="E3" s="93">
        <f>'📝 Instructions'!F8</f>
        <v>45302</v>
      </c>
      <c r="F3" s="94">
        <v>1</v>
      </c>
      <c r="G3" s="94">
        <f>Table134[[#This Row],[Diff %]]</f>
        <v>0</v>
      </c>
      <c r="H3" s="95">
        <v>0</v>
      </c>
      <c r="I3" s="96">
        <f>Table134[[#This Row],[Difference]]/$F$7</f>
        <v>3.1948881789137379E-3</v>
      </c>
      <c r="J3" s="96"/>
      <c r="K3" s="97" t="str">
        <f>"Start "&amp;CHAR(10)&amp;TEXT(Table134[[#This Row],[YEAR]],"dd-mmm-yy")</f>
        <v>Start 
11-Jan-24</v>
      </c>
      <c r="L3" s="88"/>
      <c r="M3" s="88"/>
    </row>
    <row r="4" spans="2:14" ht="15.5" x14ac:dyDescent="0.3">
      <c r="B4" s="91" t="s">
        <v>115</v>
      </c>
      <c r="C4" s="15">
        <f>('📊 Summary'!I10*'⏱ Input'!T4)/24</f>
        <v>21.458333333333332</v>
      </c>
      <c r="D4" s="92"/>
      <c r="E4" s="93">
        <f ca="1">TODAY()</f>
        <v>45378</v>
      </c>
      <c r="F4" s="94">
        <f ca="1">Table134[[#This Row],[YEAR]]-$E$3</f>
        <v>76</v>
      </c>
      <c r="G4" s="94">
        <f ca="1">Table134[[#This Row],[Diff %]]</f>
        <v>0.23961661341853036</v>
      </c>
      <c r="H4" s="95">
        <f ca="1">Table134[[#This Row],[%]]-I3</f>
        <v>0.23961661341853036</v>
      </c>
      <c r="I4" s="96">
        <f ca="1">Table134[[#This Row],[Difference]]/$F$7</f>
        <v>0.24281150159744408</v>
      </c>
      <c r="J4" s="98" t="str">
        <f ca="1">Table134[[#This Row],[YEAR]]-E3&amp;" days over"</f>
        <v>76 days over</v>
      </c>
      <c r="K4" s="97" t="str">
        <f ca="1">"Today "&amp;TEXT(Table134[[#This Row],[YEAR]],"dd-mmm-yy")</f>
        <v>Today 27-Mar-24</v>
      </c>
      <c r="L4" s="88"/>
      <c r="M4" s="88"/>
    </row>
    <row r="5" spans="2:14" ht="15.5" x14ac:dyDescent="0.3">
      <c r="B5" s="85" t="s">
        <v>54</v>
      </c>
      <c r="C5" s="15">
        <f>SUM(C3:C4)</f>
        <v>30.004675925925927</v>
      </c>
      <c r="D5" s="92"/>
      <c r="E5" s="93">
        <f>E6-'📊 Summary'!I12</f>
        <v>45589</v>
      </c>
      <c r="F5" s="94">
        <f>Table134[[#This Row],[YEAR]]-$E$3</f>
        <v>287</v>
      </c>
      <c r="G5" s="94">
        <f ca="1">Table134[[#This Row],[Diff %]]</f>
        <v>0.67412140575079871</v>
      </c>
      <c r="H5" s="95">
        <f ca="1">Table134[[#This Row],[%]]-I4</f>
        <v>0.67412140575079871</v>
      </c>
      <c r="I5" s="96">
        <f>Table134[[#This Row],[Difference]]/$F$7</f>
        <v>0.91693290734824284</v>
      </c>
      <c r="J5" s="98" t="str">
        <f ca="1">IF(E4&gt;Table134[[#This Row],[YEAR]],Table134[[#This Row],[YEAR]]-E3,Table134[[#This Row],[YEAR]]-E4)&amp;" study days left"</f>
        <v>211 study days left</v>
      </c>
      <c r="K5" s="97" t="str">
        <f>"Lecture Completed "&amp;TEXT(Table134[[#This Row],[YEAR]],"dd-mmm-yy")</f>
        <v>Lecture Completed 24-Oct-24</v>
      </c>
      <c r="L5" s="88"/>
      <c r="M5" s="88"/>
    </row>
    <row r="6" spans="2:14" ht="15.5" x14ac:dyDescent="0.3">
      <c r="B6" s="85" t="s">
        <v>114</v>
      </c>
      <c r="C6" s="127">
        <f>C5/(((('📊 Summary'!I8*5)+('📊 Summary'!I9*2))/24)/7)</f>
        <v>176.86966861598441</v>
      </c>
      <c r="D6" s="99"/>
      <c r="E6" s="93">
        <f>E7-'📊 Summary'!I11</f>
        <v>45594</v>
      </c>
      <c r="F6" s="94">
        <f>Table134[[#This Row],[YEAR]]-$E$3</f>
        <v>292</v>
      </c>
      <c r="G6" s="94">
        <f>Table134[[#This Row],[Diff %]]</f>
        <v>1.5974440894568676E-2</v>
      </c>
      <c r="H6" s="95">
        <f>Table134[[#This Row],[%]]-I5</f>
        <v>1.5974440894568676E-2</v>
      </c>
      <c r="I6" s="96">
        <f>Table134[[#This Row],[Difference]]/$F$7</f>
        <v>0.93290734824281152</v>
      </c>
      <c r="J6" s="98" t="str">
        <f>Table134[[#This Row],[YEAR]]-E5&amp;"  buffer days"</f>
        <v>5  buffer days</v>
      </c>
      <c r="K6" s="97" t="str">
        <f>"Start Revision "&amp;TEXT(Table134[[#This Row],[YEAR]],"dd-mmm-yy")</f>
        <v>Start Revision 29-Oct-24</v>
      </c>
      <c r="L6" s="88"/>
      <c r="M6" s="88"/>
    </row>
    <row r="7" spans="2:14" x14ac:dyDescent="0.3">
      <c r="E7" s="93">
        <f>'📝 Instructions'!F9</f>
        <v>45615</v>
      </c>
      <c r="F7" s="94">
        <f>Table134[[#This Row],[YEAR]]-$E$3</f>
        <v>313</v>
      </c>
      <c r="G7" s="94">
        <f>Table134[[#This Row],[Diff %]]</f>
        <v>6.7092651757188482E-2</v>
      </c>
      <c r="H7" s="95">
        <f>Table134[[#This Row],[%]]-I6</f>
        <v>6.7092651757188482E-2</v>
      </c>
      <c r="I7" s="96">
        <f>Table134[[#This Row],[Difference]]/$F$7</f>
        <v>1</v>
      </c>
      <c r="J7" s="98" t="str">
        <f>Table134[[#This Row],[YEAR]]-E6&amp;" revision days"</f>
        <v>21 revision days</v>
      </c>
      <c r="K7" s="97" t="str">
        <f>"Exam "&amp;TEXT(Table134[[#This Row],[YEAR]],"dd-mmm-yy")</f>
        <v>Exam 19-Nov-24</v>
      </c>
      <c r="L7" s="88"/>
      <c r="M7" s="88"/>
    </row>
    <row r="8" spans="2:14" ht="15.5" x14ac:dyDescent="0.3">
      <c r="B8" s="88" t="s">
        <v>118</v>
      </c>
      <c r="C8" s="15">
        <f ca="1">('⏱ Input'!R4-'⏱ Input'!R5)/F17</f>
        <v>0.28352795330875907</v>
      </c>
      <c r="E8" s="100"/>
      <c r="F8" s="101"/>
      <c r="G8" s="101"/>
      <c r="H8" s="102">
        <f ca="1">SUBTOTAL(109,Table134[Diff %])</f>
        <v>0.99680511182108622</v>
      </c>
      <c r="I8" s="103"/>
      <c r="J8" s="104"/>
      <c r="K8" s="105"/>
      <c r="L8" s="88"/>
      <c r="M8" s="88"/>
    </row>
    <row r="9" spans="2:14" ht="18" x14ac:dyDescent="0.3">
      <c r="C9" s="106"/>
      <c r="E9" s="107"/>
      <c r="F9" s="108"/>
      <c r="G9" s="108"/>
      <c r="H9" s="109"/>
      <c r="I9" s="110"/>
      <c r="J9" s="111"/>
      <c r="K9" s="88"/>
      <c r="L9" s="88"/>
      <c r="M9" s="88"/>
    </row>
    <row r="10" spans="2:14" ht="46.5" x14ac:dyDescent="0.3">
      <c r="B10" s="83" t="s">
        <v>35</v>
      </c>
      <c r="C10" s="84">
        <f ca="1">'📝 Instructions'!F9-TODAY()</f>
        <v>237</v>
      </c>
      <c r="E10" s="107"/>
      <c r="F10" s="108"/>
      <c r="G10" s="108"/>
      <c r="H10" s="109"/>
      <c r="I10" s="110"/>
      <c r="J10" s="111"/>
      <c r="K10" s="88"/>
      <c r="L10" s="88"/>
      <c r="M10" s="88"/>
    </row>
    <row r="11" spans="2:14" ht="15.5" x14ac:dyDescent="0.3">
      <c r="B11" s="85" t="s">
        <v>52</v>
      </c>
      <c r="C11" s="84">
        <f ca="1">IF(C10&lt;SUM('📊 Summary'!I11:I12),0,C10-'📊 Summary'!I11-'📊 Summary'!I12)</f>
        <v>211</v>
      </c>
      <c r="E11" s="107"/>
      <c r="F11" s="108"/>
      <c r="G11" s="108"/>
      <c r="H11" s="109"/>
      <c r="I11" s="110"/>
      <c r="J11" s="111"/>
      <c r="K11" s="88"/>
      <c r="L11" s="88"/>
      <c r="M11" s="88"/>
    </row>
    <row r="12" spans="2:14" ht="15.5" x14ac:dyDescent="0.3">
      <c r="B12" s="85" t="s">
        <v>42</v>
      </c>
      <c r="C12" s="86">
        <f>((('📊 Summary'!I8*5)+('📊 Summary'!I9*2))/7)*F21</f>
        <v>34.795823412698418</v>
      </c>
      <c r="E12" s="107"/>
      <c r="F12" s="108"/>
      <c r="G12" s="108"/>
      <c r="H12" s="109"/>
      <c r="I12" s="110"/>
      <c r="J12" s="111"/>
      <c r="K12" s="88"/>
      <c r="L12" s="88"/>
      <c r="M12" s="88"/>
    </row>
    <row r="14" spans="2:14" ht="15.5" x14ac:dyDescent="0.3">
      <c r="B14" s="320"/>
      <c r="C14" s="321" t="s">
        <v>41</v>
      </c>
      <c r="D14" s="321"/>
      <c r="E14" s="321"/>
      <c r="F14" s="112" t="s">
        <v>39</v>
      </c>
      <c r="G14" s="113"/>
    </row>
    <row r="15" spans="2:14" ht="15.5" x14ac:dyDescent="0.3">
      <c r="B15" s="320"/>
      <c r="C15" s="113" t="s">
        <v>36</v>
      </c>
      <c r="D15" s="113" t="s">
        <v>37</v>
      </c>
      <c r="E15" s="113" t="s">
        <v>55</v>
      </c>
      <c r="F15" s="113" t="s">
        <v>40</v>
      </c>
      <c r="G15" s="113" t="s">
        <v>93</v>
      </c>
      <c r="K15" s="88"/>
      <c r="N15" s="111"/>
    </row>
    <row r="16" spans="2:14" ht="31" x14ac:dyDescent="0.3">
      <c r="B16" s="114" t="s">
        <v>44</v>
      </c>
      <c r="C16" s="115">
        <f ca="1">('⏱ Input'!T4/('📝 Instructions'!F9-'📝 Instructions'!F8-'📊 Summary'!I11-'📊 Summary'!I12))*(TODAY()-'📝 Instructions'!F8)</f>
        <v>27.275261324041811</v>
      </c>
      <c r="D16" s="115">
        <f>COUNTIFS(Master_Data[Lectures],"d",Master_Data[Self Study],"d")</f>
        <v>0</v>
      </c>
      <c r="E16" s="21">
        <f ca="1">IF((D16-C16)/C16&gt;0,"+"&amp;ROUND(((D16-C16)/C16)*100,0)&amp;"%",ROUND(((D16-C16)/C16),2))</f>
        <v>-1</v>
      </c>
      <c r="F16" s="115">
        <f>COUNTIFS(Master_Data[Lectures],"u",Master_Data[Self Study],"u")</f>
        <v>103</v>
      </c>
      <c r="G16" s="20" t="str">
        <f>IFERROR(IF((F16-D16)/F16&gt;0,"+"&amp;ROUND(((F16-D16)/F16)*100,0)&amp;"%",ROUND(((F16-D16)/F16),2)),"-")</f>
        <v>+100%</v>
      </c>
      <c r="H16" s="134"/>
      <c r="K16" s="88"/>
      <c r="N16" s="111"/>
    </row>
    <row r="17" spans="2:14" ht="31" x14ac:dyDescent="0.3">
      <c r="B17" s="114" t="s">
        <v>72</v>
      </c>
      <c r="C17" s="81">
        <f ca="1">C18/7</f>
        <v>10.857142857142858</v>
      </c>
      <c r="D17" s="81">
        <f ca="1">D18/7</f>
        <v>10.857142857142858</v>
      </c>
      <c r="E17" s="21"/>
      <c r="F17" s="81">
        <f ca="1">F18/7</f>
        <v>30.142857142857142</v>
      </c>
      <c r="G17" s="20"/>
      <c r="K17" s="88"/>
      <c r="N17" s="111"/>
    </row>
    <row r="18" spans="2:14" ht="31" x14ac:dyDescent="0.3">
      <c r="B18" s="114" t="s">
        <v>73</v>
      </c>
      <c r="C18" s="82">
        <f ca="1">TODAY()-'📝 Instructions'!F8</f>
        <v>76</v>
      </c>
      <c r="D18" s="82">
        <f ca="1">TODAY()-'📝 Instructions'!F8</f>
        <v>76</v>
      </c>
      <c r="E18" s="21"/>
      <c r="F18" s="82">
        <f ca="1">IF(C10&lt;SUM('📊 Summary'!I11:I12),0,Working!C10-'📊 Summary'!I11-'📊 Summary'!I12)</f>
        <v>211</v>
      </c>
      <c r="G18" s="20"/>
      <c r="K18" s="88"/>
      <c r="N18" s="111"/>
    </row>
    <row r="19" spans="2:14" ht="46.5" x14ac:dyDescent="0.3">
      <c r="B19" s="114" t="s">
        <v>66</v>
      </c>
      <c r="C19" s="15">
        <f ca="1">((('📊 Summary'!$I$8*5)+('📊 Summary'!$I$9*2))/24)*Working!C17</f>
        <v>12.892857142857144</v>
      </c>
      <c r="D19" s="15">
        <f ca="1">((('📊 Summary'!$I$8*5)+('📊 Summary'!$I$9*2))/24)*Working!D17</f>
        <v>12.892857142857144</v>
      </c>
      <c r="E19" s="21"/>
      <c r="F19" s="15">
        <f ca="1">((('📊 Summary'!$I$8*5)+('📊 Summary'!$I$9*2))/24)*Working!F17</f>
        <v>35.794642857142854</v>
      </c>
      <c r="G19" s="20"/>
      <c r="K19" s="88"/>
      <c r="N19" s="111"/>
    </row>
    <row r="20" spans="2:14" ht="46.5" x14ac:dyDescent="0.3">
      <c r="B20" s="116" t="s">
        <v>67</v>
      </c>
      <c r="C20" s="9">
        <f ca="1">C21+C22</f>
        <v>7.9454890953671438</v>
      </c>
      <c r="D20" s="9">
        <f>D21+D22</f>
        <v>0</v>
      </c>
      <c r="E20" s="21">
        <f t="shared" ref="E20:E22" ca="1" si="0">IF((D20-C20)/C20&gt;0,"+"&amp;ROUND(((D20-C20)/C20)*100,0)&amp;"%",ROUND(((D20-C20)/C20),2))</f>
        <v>-1</v>
      </c>
      <c r="F20" s="9">
        <f>F21+F22</f>
        <v>30.00467592592593</v>
      </c>
      <c r="G20" s="20" t="str">
        <f t="shared" ref="G20:G22" si="1">IFERROR(IF((F20-D20)/F20&gt;0,"+"&amp;ROUND(((F20-D20)/F20)*100,0)&amp;"%",ROUND(((F20-D20)/F20),2)),"-")</f>
        <v>+100%</v>
      </c>
    </row>
    <row r="21" spans="2:14" ht="31" x14ac:dyDescent="0.3">
      <c r="B21" s="117" t="s">
        <v>70</v>
      </c>
      <c r="C21" s="15">
        <f ca="1">((TODAY()-'📝 Instructions'!F8)/('📝 Instructions'!F9-'📝 Instructions'!F8-'📊 Summary'!I11-'📊 Summary'!I12))*'⏱ Input'!R4</f>
        <v>2.2631429861917671</v>
      </c>
      <c r="D21" s="15">
        <f>SUMIF(Master_Data[Lectures],"d",Master_Data[Duration (hh:mm)])</f>
        <v>0</v>
      </c>
      <c r="E21" s="21">
        <f t="shared" ca="1" si="0"/>
        <v>-1</v>
      </c>
      <c r="F21" s="15">
        <f>SUMIF(Master_Data[Lectures],"u",Master_Data[Duration (hh:mm)])</f>
        <v>8.5463425925925947</v>
      </c>
      <c r="G21" s="20" t="str">
        <f t="shared" si="1"/>
        <v>+100%</v>
      </c>
    </row>
    <row r="22" spans="2:14" ht="46.5" x14ac:dyDescent="0.3">
      <c r="B22" s="117" t="s">
        <v>74</v>
      </c>
      <c r="C22" s="15">
        <f ca="1">C16*('📊 Summary'!$I$10/24)</f>
        <v>5.6823461091753771</v>
      </c>
      <c r="D22" s="15">
        <f>D16*('📊 Summary'!$I$10/24)</f>
        <v>0</v>
      </c>
      <c r="E22" s="21">
        <f t="shared" ca="1" si="0"/>
        <v>-1</v>
      </c>
      <c r="F22" s="15">
        <f>F16*('📊 Summary'!$I$10/24)</f>
        <v>21.458333333333336</v>
      </c>
      <c r="G22" s="20" t="str">
        <f t="shared" si="1"/>
        <v>+100%</v>
      </c>
    </row>
    <row r="23" spans="2:14" ht="31" x14ac:dyDescent="0.3">
      <c r="B23" s="116" t="s">
        <v>68</v>
      </c>
      <c r="C23" s="15"/>
      <c r="D23" s="15"/>
      <c r="E23" s="21"/>
      <c r="F23" s="15"/>
      <c r="G23" s="20"/>
    </row>
    <row r="24" spans="2:14" ht="31" x14ac:dyDescent="0.3">
      <c r="B24" s="116" t="s">
        <v>75</v>
      </c>
      <c r="C24" s="133">
        <f ca="1">C16/C$17</f>
        <v>2.5121951219512191</v>
      </c>
      <c r="D24" s="133">
        <f ca="1">D16/D$17</f>
        <v>0</v>
      </c>
      <c r="E24" s="21">
        <f t="shared" ref="E24:E27" ca="1" si="2">IF((D24-C24)/C24&gt;0,"+"&amp;ROUND(((D24-C24)/C24)*100,0)&amp;"%",ROUND(((D24-C24)/C24),2))</f>
        <v>-1</v>
      </c>
      <c r="F24" s="133">
        <f ca="1">IFERROR(F16/F$17,"-")</f>
        <v>3.4170616113744074</v>
      </c>
      <c r="G24" s="20" t="str">
        <f ca="1">IFERROR(IF((F24-D24)/F24&gt;0,"+"&amp;ROUND(((F24-D24)/F24)*100,0)&amp;"%",ROUND(((F24-D24)/F24),2)),"-")</f>
        <v>+100%</v>
      </c>
      <c r="H24" s="134"/>
    </row>
    <row r="25" spans="2:14" ht="31" x14ac:dyDescent="0.3">
      <c r="B25" s="116" t="s">
        <v>71</v>
      </c>
      <c r="C25" s="9">
        <f ca="1">C26+C27</f>
        <v>0.73182136404697373</v>
      </c>
      <c r="D25" s="9">
        <f ca="1">D26+D27</f>
        <v>0</v>
      </c>
      <c r="E25" s="21">
        <f t="shared" ca="1" si="2"/>
        <v>-1</v>
      </c>
      <c r="F25" s="9">
        <f ca="1">IFERROR(F26+F27,"-")</f>
        <v>0.99541578901176075</v>
      </c>
      <c r="G25" s="20" t="str">
        <f t="shared" ref="G25:G27" ca="1" si="3">IFERROR(IF((F25-D25)/F25&gt;0,"+"&amp;ROUND(((F25-D25)/F25)*100,0)&amp;"%",ROUND(((F25-D25)/F25),2)),"-")</f>
        <v>+100%</v>
      </c>
    </row>
    <row r="26" spans="2:14" ht="31" x14ac:dyDescent="0.3">
      <c r="B26" s="117" t="s">
        <v>70</v>
      </c>
      <c r="C26" s="15">
        <f ca="1">C21/C$17</f>
        <v>0.20844738030713644</v>
      </c>
      <c r="D26" s="15">
        <f ca="1">D21/D$17</f>
        <v>0</v>
      </c>
      <c r="E26" s="21">
        <f t="shared" ca="1" si="2"/>
        <v>-1</v>
      </c>
      <c r="F26" s="15">
        <f ca="1">IFERROR(F21/F$17,"-")</f>
        <v>0.28352795330875907</v>
      </c>
      <c r="G26" s="20" t="str">
        <f t="shared" ca="1" si="3"/>
        <v>+100%</v>
      </c>
    </row>
    <row r="27" spans="2:14" ht="46.5" x14ac:dyDescent="0.3">
      <c r="B27" s="117" t="s">
        <v>74</v>
      </c>
      <c r="C27" s="15">
        <f ca="1">C22/C$17</f>
        <v>0.52337398373983735</v>
      </c>
      <c r="D27" s="15">
        <f ca="1">D22/D$17</f>
        <v>0</v>
      </c>
      <c r="E27" s="21">
        <f t="shared" ca="1" si="2"/>
        <v>-1</v>
      </c>
      <c r="F27" s="15">
        <f ca="1">IFERROR(F22/F$17,"-")</f>
        <v>0.71188783570300163</v>
      </c>
      <c r="G27" s="20" t="str">
        <f t="shared" ca="1" si="3"/>
        <v>+100%</v>
      </c>
    </row>
    <row r="28" spans="2:14" ht="31" x14ac:dyDescent="0.3">
      <c r="B28" s="116" t="s">
        <v>69</v>
      </c>
      <c r="C28" s="15"/>
      <c r="D28" s="15"/>
      <c r="E28" s="21"/>
      <c r="F28" s="15"/>
      <c r="G28" s="20"/>
    </row>
    <row r="29" spans="2:14" ht="31" x14ac:dyDescent="0.3">
      <c r="B29" s="116" t="s">
        <v>75</v>
      </c>
      <c r="C29" s="133">
        <f ca="1">C16/C$18</f>
        <v>0.35888501742160278</v>
      </c>
      <c r="D29" s="133">
        <f ca="1">D16/D$18</f>
        <v>0</v>
      </c>
      <c r="E29" s="21">
        <f t="shared" ref="E29:E32" ca="1" si="4">IF((D29-C29)/C29&gt;0,"+"&amp;ROUND(((D29-C29)/C29)*100,0)&amp;"%",ROUND(((D29-C29)/C29),2))</f>
        <v>-1</v>
      </c>
      <c r="F29" s="133">
        <f ca="1">IFERROR(F16/F$18,"-")</f>
        <v>0.4881516587677725</v>
      </c>
      <c r="G29" s="20" t="str">
        <f t="shared" ref="G29:G32" ca="1" si="5">IFERROR(IF((F29-D29)/F29&gt;0,"+"&amp;ROUND(((F29-D29)/F29)*100,0)&amp;"%",ROUND(((F29-D29)/F29),2)),"-")</f>
        <v>+100%</v>
      </c>
    </row>
    <row r="30" spans="2:14" ht="31" x14ac:dyDescent="0.3">
      <c r="B30" s="116" t="s">
        <v>71</v>
      </c>
      <c r="C30" s="9">
        <f ca="1">C31+C32</f>
        <v>0.10454590914956768</v>
      </c>
      <c r="D30" s="9">
        <f ca="1">D31+D32</f>
        <v>0</v>
      </c>
      <c r="E30" s="21">
        <f t="shared" ca="1" si="4"/>
        <v>-1</v>
      </c>
      <c r="F30" s="9">
        <f ca="1">IFERROR(F31+F32,"-")</f>
        <v>0.14220225557310867</v>
      </c>
      <c r="G30" s="20" t="str">
        <f t="shared" ca="1" si="5"/>
        <v>+100%</v>
      </c>
    </row>
    <row r="31" spans="2:14" ht="31" x14ac:dyDescent="0.3">
      <c r="B31" s="117" t="s">
        <v>70</v>
      </c>
      <c r="C31" s="15">
        <f ca="1">C21/C$18</f>
        <v>2.9778197186733777E-2</v>
      </c>
      <c r="D31" s="15">
        <f ca="1">D21/D$18</f>
        <v>0</v>
      </c>
      <c r="E31" s="21">
        <f t="shared" ca="1" si="4"/>
        <v>-1</v>
      </c>
      <c r="F31" s="15">
        <f ca="1">IFERROR(F21/F$18,"-")</f>
        <v>4.0503993329822727E-2</v>
      </c>
      <c r="G31" s="20" t="str">
        <f t="shared" ca="1" si="5"/>
        <v>+100%</v>
      </c>
    </row>
    <row r="32" spans="2:14" ht="46.5" x14ac:dyDescent="0.3">
      <c r="B32" s="117" t="s">
        <v>74</v>
      </c>
      <c r="C32" s="15">
        <f ca="1">C22/C$18</f>
        <v>7.476771196283391E-2</v>
      </c>
      <c r="D32" s="15">
        <f ca="1">D22/D$18</f>
        <v>0</v>
      </c>
      <c r="E32" s="21">
        <f t="shared" ca="1" si="4"/>
        <v>-1</v>
      </c>
      <c r="F32" s="15">
        <f ca="1">IFERROR(F22/F$18,"-")</f>
        <v>0.10169826224328594</v>
      </c>
      <c r="G32" s="20" t="str">
        <f t="shared" ca="1" si="5"/>
        <v>+100%</v>
      </c>
    </row>
    <row r="33" spans="2:7" ht="15.5" x14ac:dyDescent="0.3">
      <c r="B33" s="118"/>
      <c r="C33" s="92"/>
      <c r="D33" s="92"/>
      <c r="E33" s="119"/>
      <c r="F33" s="92"/>
      <c r="G33" s="78"/>
    </row>
    <row r="34" spans="2:7" ht="15.5" x14ac:dyDescent="0.3">
      <c r="B34" s="128" t="s">
        <v>60</v>
      </c>
      <c r="C34" s="128"/>
      <c r="D34" s="92"/>
      <c r="E34" s="119"/>
      <c r="F34" s="92"/>
      <c r="G34" s="78"/>
    </row>
    <row r="35" spans="2:7" ht="15.5" x14ac:dyDescent="0.3">
      <c r="B35" s="129" t="s">
        <v>56</v>
      </c>
      <c r="C35" s="92">
        <f ca="1">(C42*((('📊 Summary'!I8*5)/24)/((('📊 Summary'!I8*5)+('📊 Summary'!I9*2))/24)))/5</f>
        <v>8.7317174474715861E-2</v>
      </c>
      <c r="D35" s="92"/>
      <c r="E35" s="119"/>
      <c r="F35" s="92"/>
      <c r="G35" s="78"/>
    </row>
    <row r="36" spans="2:7" ht="15.5" x14ac:dyDescent="0.3">
      <c r="B36" s="129" t="s">
        <v>57</v>
      </c>
      <c r="C36" s="92">
        <f ca="1">(C42*((('📊 Summary'!I9*2)/24)/((('📊 Summary'!I8*5)+('📊 Summary'!I9*2))/24)))/2</f>
        <v>0.27941495831909074</v>
      </c>
      <c r="D36" s="92"/>
      <c r="E36" s="119"/>
      <c r="F36" s="92"/>
      <c r="G36" s="78"/>
    </row>
    <row r="37" spans="2:7" ht="15.5" x14ac:dyDescent="0.3">
      <c r="B37" s="130"/>
      <c r="C37" s="130"/>
      <c r="D37" s="92"/>
      <c r="E37" s="119"/>
      <c r="F37" s="92"/>
      <c r="G37" s="78"/>
    </row>
    <row r="38" spans="2:7" ht="15.5" x14ac:dyDescent="0.3">
      <c r="B38" s="128" t="s">
        <v>58</v>
      </c>
      <c r="C38" s="92"/>
      <c r="D38" s="92"/>
      <c r="E38" s="119"/>
      <c r="F38" s="92"/>
      <c r="G38" s="78"/>
    </row>
    <row r="39" spans="2:7" ht="15.5" x14ac:dyDescent="0.3">
      <c r="B39" s="131" t="s">
        <v>53</v>
      </c>
      <c r="C39" s="92">
        <f>F21</f>
        <v>8.5463425925925947</v>
      </c>
      <c r="D39" s="92"/>
      <c r="E39" s="119"/>
      <c r="F39" s="92"/>
      <c r="G39" s="78"/>
    </row>
    <row r="40" spans="2:7" ht="15.5" x14ac:dyDescent="0.3">
      <c r="B40" s="131" t="s">
        <v>22</v>
      </c>
      <c r="C40" s="92">
        <f>F22</f>
        <v>21.458333333333336</v>
      </c>
      <c r="D40" s="92"/>
      <c r="E40" s="119"/>
      <c r="F40" s="92"/>
      <c r="G40" s="78"/>
    </row>
    <row r="41" spans="2:7" ht="15.5" x14ac:dyDescent="0.3">
      <c r="B41" s="129" t="s">
        <v>54</v>
      </c>
      <c r="C41" s="132">
        <f>SUM(C39:C40)</f>
        <v>30.00467592592593</v>
      </c>
      <c r="D41" s="92"/>
      <c r="E41" s="119"/>
      <c r="F41" s="92"/>
      <c r="G41" s="78"/>
    </row>
    <row r="42" spans="2:7" ht="15.5" x14ac:dyDescent="0.3">
      <c r="B42" s="129" t="s">
        <v>59</v>
      </c>
      <c r="C42" s="92">
        <f ca="1">C41/F17</f>
        <v>0.99541578901176075</v>
      </c>
      <c r="D42" s="92"/>
      <c r="E42" s="119"/>
      <c r="F42" s="92"/>
      <c r="G42" s="78"/>
    </row>
    <row r="43" spans="2:7" ht="15.5" x14ac:dyDescent="0.3">
      <c r="B43" s="118"/>
      <c r="C43" s="92"/>
      <c r="D43" s="92"/>
      <c r="E43" s="119"/>
      <c r="F43" s="92"/>
      <c r="G43" s="78"/>
    </row>
    <row r="44" spans="2:7" ht="15.5" x14ac:dyDescent="0.3">
      <c r="B44" s="118"/>
      <c r="C44" s="92"/>
      <c r="D44" s="92"/>
      <c r="E44" s="119"/>
      <c r="F44" s="92"/>
      <c r="G44" s="78"/>
    </row>
    <row r="45" spans="2:7" x14ac:dyDescent="0.3">
      <c r="C45" s="111"/>
      <c r="D45" s="111"/>
    </row>
    <row r="46" spans="2:7" x14ac:dyDescent="0.3">
      <c r="B46" s="120" t="s">
        <v>9</v>
      </c>
      <c r="C46" s="87"/>
      <c r="D46" s="87"/>
      <c r="E46" s="87"/>
    </row>
    <row r="47" spans="2:7" x14ac:dyDescent="0.3">
      <c r="B47" s="87" t="s">
        <v>11</v>
      </c>
      <c r="C47" s="121">
        <f>D47/$D$51</f>
        <v>0</v>
      </c>
      <c r="D47" s="87">
        <f>COUNTIFS(Master_Data[Lectures],"d",Master_Data[Self Study],"d")</f>
        <v>0</v>
      </c>
      <c r="E47" s="121" t="str">
        <f>IF(C47=0,"",CONCATENATE(B47,", ",ROUND(D47,0)))</f>
        <v/>
      </c>
    </row>
    <row r="48" spans="2:7" x14ac:dyDescent="0.3">
      <c r="B48" s="87" t="s">
        <v>138</v>
      </c>
      <c r="C48" s="121">
        <f t="shared" ref="C48:C51" ca="1" si="6">D48/$D$51</f>
        <v>0</v>
      </c>
      <c r="D48" s="122">
        <f ca="1">IF(C16&lt;D16,D16-C16,0)</f>
        <v>0</v>
      </c>
      <c r="E48" s="121" t="str">
        <f t="shared" ref="E48:E50" ca="1" si="7">IF(C48=0,"",CONCATENATE(B48,", ",ROUND(D48,0)))</f>
        <v/>
      </c>
    </row>
    <row r="49" spans="2:14" x14ac:dyDescent="0.3">
      <c r="B49" s="87" t="s">
        <v>139</v>
      </c>
      <c r="C49" s="121">
        <f t="shared" ca="1" si="6"/>
        <v>0.26480836236933797</v>
      </c>
      <c r="D49" s="122">
        <f ca="1">IF(C16&gt;D16,C16-D16,0)</f>
        <v>27.275261324041811</v>
      </c>
      <c r="E49" s="121" t="str">
        <f t="shared" ca="1" si="7"/>
        <v>Extra Undone, 27</v>
      </c>
    </row>
    <row r="50" spans="2:14" x14ac:dyDescent="0.3">
      <c r="B50" s="87" t="s">
        <v>12</v>
      </c>
      <c r="C50" s="121">
        <f t="shared" ca="1" si="6"/>
        <v>0.73519163763066209</v>
      </c>
      <c r="D50" s="123">
        <f ca="1">D51-D47-D49</f>
        <v>75.724738675958193</v>
      </c>
      <c r="E50" s="121" t="str">
        <f t="shared" ca="1" si="7"/>
        <v>Undone, 76</v>
      </c>
    </row>
    <row r="51" spans="2:14" x14ac:dyDescent="0.3">
      <c r="B51" s="87" t="s">
        <v>7</v>
      </c>
      <c r="C51" s="121">
        <f t="shared" si="6"/>
        <v>1</v>
      </c>
      <c r="D51" s="123">
        <f>'⏱ Input'!T4</f>
        <v>103</v>
      </c>
      <c r="E51" s="121"/>
    </row>
    <row r="53" spans="2:14" x14ac:dyDescent="0.3">
      <c r="B53" s="120" t="s">
        <v>136</v>
      </c>
      <c r="C53" s="87"/>
      <c r="D53" s="87"/>
      <c r="E53" s="87"/>
      <c r="N53" s="124"/>
    </row>
    <row r="54" spans="2:14" x14ac:dyDescent="0.3">
      <c r="B54" s="87" t="s">
        <v>11</v>
      </c>
      <c r="C54" s="121">
        <f>D54/$D$58</f>
        <v>0</v>
      </c>
      <c r="D54" s="136">
        <f>'⏱ Input'!R5</f>
        <v>0</v>
      </c>
      <c r="E54" s="87" t="str">
        <f>IF(C54=0,"",CONCATENATE(B54,", ",TEXT(D54,"[h]")))</f>
        <v/>
      </c>
      <c r="G54" s="124"/>
    </row>
    <row r="55" spans="2:14" x14ac:dyDescent="0.3">
      <c r="B55" s="87" t="s">
        <v>138</v>
      </c>
      <c r="C55" s="121">
        <f t="shared" ref="C55:C58" ca="1" si="8">D55/$D$58</f>
        <v>0</v>
      </c>
      <c r="D55" s="136">
        <f ca="1">IF(C21&lt;D21,D21-C21,0)</f>
        <v>0</v>
      </c>
      <c r="E55" s="121" t="str">
        <f ca="1">IF(C55=0,"",CONCATENATE(B55,", ",TEXT(D55,"[h]")))</f>
        <v/>
      </c>
    </row>
    <row r="56" spans="2:14" x14ac:dyDescent="0.3">
      <c r="B56" s="87" t="s">
        <v>139</v>
      </c>
      <c r="C56" s="121">
        <f t="shared" ca="1" si="8"/>
        <v>0.26480836236933797</v>
      </c>
      <c r="D56" s="136">
        <f ca="1">IF(C21&gt;D21,C21-D21,0)</f>
        <v>2.2631429861917671</v>
      </c>
      <c r="E56" s="121" t="str">
        <f ca="1">IF(C56=0,"",CONCATENATE(B56,", ",TEXT(D56,"[h]")))</f>
        <v>Extra Undone, 54</v>
      </c>
    </row>
    <row r="57" spans="2:14" x14ac:dyDescent="0.3">
      <c r="B57" s="87" t="s">
        <v>12</v>
      </c>
      <c r="C57" s="121">
        <f t="shared" ca="1" si="8"/>
        <v>0.73519163763066209</v>
      </c>
      <c r="D57" s="136">
        <f ca="1">D58-D54-D56</f>
        <v>6.283199606400828</v>
      </c>
      <c r="E57" s="121" t="str">
        <f ca="1">IF(C57=0,"",CONCATENATE(B57,", ",TEXT(D57,"[h]")))</f>
        <v>Undone, 150</v>
      </c>
    </row>
    <row r="58" spans="2:14" x14ac:dyDescent="0.3">
      <c r="B58" s="87" t="s">
        <v>7</v>
      </c>
      <c r="C58" s="121">
        <f t="shared" si="8"/>
        <v>1</v>
      </c>
      <c r="D58" s="136">
        <f>'⏱ Input'!R4</f>
        <v>8.5463425925925947</v>
      </c>
      <c r="E58" s="121"/>
    </row>
    <row r="60" spans="2:14" x14ac:dyDescent="0.3">
      <c r="B60" s="120" t="s">
        <v>137</v>
      </c>
      <c r="C60" s="87"/>
      <c r="D60" s="87"/>
      <c r="E60" s="87"/>
    </row>
    <row r="61" spans="2:14" x14ac:dyDescent="0.3">
      <c r="B61" s="87" t="s">
        <v>11</v>
      </c>
      <c r="C61" s="121">
        <f>D61/$D$65</f>
        <v>0</v>
      </c>
      <c r="D61" s="136">
        <f>'⏱ Input'!U5*('📊 Summary'!I10/24)</f>
        <v>0</v>
      </c>
      <c r="E61" s="121" t="str">
        <f>IF(C61=0,"",CONCATENATE(B61,", ",TEXT(D61,"[h]")))</f>
        <v/>
      </c>
    </row>
    <row r="62" spans="2:14" x14ac:dyDescent="0.3">
      <c r="B62" s="87" t="s">
        <v>138</v>
      </c>
      <c r="C62" s="121">
        <f t="shared" ref="C62:C65" ca="1" si="9">D62/$D$65</f>
        <v>0</v>
      </c>
      <c r="D62" s="136">
        <f ca="1">IF(C22&lt;D22,D22-C22,0)</f>
        <v>0</v>
      </c>
      <c r="E62" s="121" t="str">
        <f ca="1">IF(C62=0,"",CONCATENATE(B62,", ",TEXT(D62,"[h]")))</f>
        <v/>
      </c>
    </row>
    <row r="63" spans="2:14" x14ac:dyDescent="0.3">
      <c r="B63" s="87" t="s">
        <v>139</v>
      </c>
      <c r="C63" s="121">
        <f t="shared" ca="1" si="9"/>
        <v>0.26480836236933791</v>
      </c>
      <c r="D63" s="136">
        <f ca="1">IF(C22&gt;D22,C22-D22,0)</f>
        <v>5.6823461091753771</v>
      </c>
      <c r="E63" s="121" t="str">
        <f ca="1">IF(C63=0,"",CONCATENATE(B63,", ",TEXT(D63,"[h]")))</f>
        <v>Extra Undone, 136</v>
      </c>
    </row>
    <row r="64" spans="2:14" x14ac:dyDescent="0.3">
      <c r="B64" s="87" t="s">
        <v>12</v>
      </c>
      <c r="C64" s="121">
        <f t="shared" ca="1" si="9"/>
        <v>0.73519163763066209</v>
      </c>
      <c r="D64" s="136">
        <f ca="1">D65-D61-D63</f>
        <v>15.775987224157959</v>
      </c>
      <c r="E64" s="121" t="str">
        <f ca="1">IF(C64=0,"",CONCATENATE(B64,", ",TEXT(D64,"[h]")))</f>
        <v>Undone, 378</v>
      </c>
    </row>
    <row r="65" spans="2:5" x14ac:dyDescent="0.3">
      <c r="B65" s="87" t="s">
        <v>7</v>
      </c>
      <c r="C65" s="121">
        <f t="shared" si="9"/>
        <v>1</v>
      </c>
      <c r="D65" s="136">
        <f>'⏱ Input'!T4*('📊 Summary'!I10/24)</f>
        <v>21.458333333333336</v>
      </c>
      <c r="E65" s="121"/>
    </row>
    <row r="66" spans="2:5" x14ac:dyDescent="0.3">
      <c r="C66" s="134"/>
      <c r="D66" s="135"/>
      <c r="E66" s="134"/>
    </row>
    <row r="67" spans="2:5" x14ac:dyDescent="0.3">
      <c r="B67" s="120" t="s">
        <v>148</v>
      </c>
      <c r="C67" s="87"/>
      <c r="D67" s="87"/>
      <c r="E67" s="87"/>
    </row>
    <row r="68" spans="2:5" x14ac:dyDescent="0.3">
      <c r="B68" s="87" t="s">
        <v>11</v>
      </c>
      <c r="C68" s="121">
        <f>D68/$D$72</f>
        <v>0</v>
      </c>
      <c r="D68" s="136">
        <f>D20</f>
        <v>0</v>
      </c>
      <c r="E68" s="121" t="str">
        <f>IF(C68=0,"",CONCATENATE(B68,", ",TEXT(D68,"[h]")))</f>
        <v/>
      </c>
    </row>
    <row r="69" spans="2:5" x14ac:dyDescent="0.3">
      <c r="B69" s="87" t="s">
        <v>138</v>
      </c>
      <c r="C69" s="121">
        <f t="shared" ref="C69:C72" ca="1" si="10">D69/$D$72</f>
        <v>0</v>
      </c>
      <c r="D69" s="136">
        <f ca="1">IF(C20&lt;D20,D20-C20,0)</f>
        <v>0</v>
      </c>
      <c r="E69" s="121" t="str">
        <f ca="1">IF(C69=0,"",CONCATENATE(B69,", ",TEXT(D69,"[h]")))</f>
        <v/>
      </c>
    </row>
    <row r="70" spans="2:5" x14ac:dyDescent="0.3">
      <c r="B70" s="87" t="s">
        <v>139</v>
      </c>
      <c r="C70" s="121">
        <f t="shared" ca="1" si="10"/>
        <v>0.26480836236933791</v>
      </c>
      <c r="D70" s="136">
        <f ca="1">IF(C20&gt;D20,C20-D20,0)</f>
        <v>7.9454890953671438</v>
      </c>
      <c r="E70" s="121" t="str">
        <f ca="1">IF(C70=0,"",CONCATENATE(B70,", ",TEXT(D70,"[h]")))</f>
        <v>Extra Undone, 190</v>
      </c>
    </row>
    <row r="71" spans="2:5" x14ac:dyDescent="0.3">
      <c r="B71" s="87" t="s">
        <v>12</v>
      </c>
      <c r="C71" s="121">
        <f t="shared" ca="1" si="10"/>
        <v>0.73519163763066209</v>
      </c>
      <c r="D71" s="136">
        <f ca="1">D72-D68-D70</f>
        <v>22.059186830558787</v>
      </c>
      <c r="E71" s="121" t="str">
        <f ca="1">IF(C71=0,"",CONCATENATE(B71,", ",TEXT(D71,"[h]")))</f>
        <v>Undone, 529</v>
      </c>
    </row>
    <row r="72" spans="2:5" x14ac:dyDescent="0.3">
      <c r="B72" s="87" t="s">
        <v>7</v>
      </c>
      <c r="C72" s="121">
        <f t="shared" si="10"/>
        <v>1</v>
      </c>
      <c r="D72" s="136">
        <f t="shared" ref="D72" si="11">D58+D65</f>
        <v>30.00467592592593</v>
      </c>
      <c r="E72" s="121"/>
    </row>
    <row r="73" spans="2:5" x14ac:dyDescent="0.3">
      <c r="C73" s="134"/>
      <c r="D73" s="135"/>
      <c r="E73" s="134"/>
    </row>
    <row r="74" spans="2:5" x14ac:dyDescent="0.3">
      <c r="C74" s="134"/>
      <c r="D74" s="135"/>
      <c r="E74" s="134"/>
    </row>
    <row r="75" spans="2:5" x14ac:dyDescent="0.3">
      <c r="C75" s="134"/>
      <c r="D75" s="135"/>
      <c r="E75" s="134"/>
    </row>
    <row r="77" spans="2:5" x14ac:dyDescent="0.3">
      <c r="B77" s="125" t="s">
        <v>126</v>
      </c>
      <c r="C77" s="88" t="s">
        <v>128</v>
      </c>
    </row>
    <row r="78" spans="2:5" x14ac:dyDescent="0.3">
      <c r="B78" s="126" t="s">
        <v>6</v>
      </c>
      <c r="C78" s="322">
        <v>103</v>
      </c>
    </row>
    <row r="79" spans="2:5" x14ac:dyDescent="0.3">
      <c r="B79" s="126" t="s">
        <v>127</v>
      </c>
      <c r="C79" s="322">
        <v>103</v>
      </c>
    </row>
    <row r="80" spans="2:5" ht="14.5" x14ac:dyDescent="0.35">
      <c r="B80"/>
      <c r="C80"/>
    </row>
    <row r="82" spans="2:3" x14ac:dyDescent="0.3">
      <c r="B82" s="125" t="s">
        <v>126</v>
      </c>
      <c r="C82" s="88" t="s">
        <v>129</v>
      </c>
    </row>
    <row r="83" spans="2:3" x14ac:dyDescent="0.3">
      <c r="B83" s="126" t="s">
        <v>6</v>
      </c>
      <c r="C83" s="322">
        <v>103</v>
      </c>
    </row>
    <row r="84" spans="2:3" x14ac:dyDescent="0.3">
      <c r="B84" s="126" t="s">
        <v>127</v>
      </c>
      <c r="C84" s="322">
        <v>103</v>
      </c>
    </row>
    <row r="85" spans="2:3" ht="14.5" x14ac:dyDescent="0.35">
      <c r="B85"/>
      <c r="C85"/>
    </row>
    <row r="87" spans="2:3" x14ac:dyDescent="0.3">
      <c r="B87" s="125" t="s">
        <v>126</v>
      </c>
      <c r="C87" s="88" t="s">
        <v>131</v>
      </c>
    </row>
    <row r="88" spans="2:3" x14ac:dyDescent="0.3">
      <c r="B88" s="126" t="s">
        <v>6</v>
      </c>
      <c r="C88" s="322">
        <v>103</v>
      </c>
    </row>
    <row r="89" spans="2:3" x14ac:dyDescent="0.3">
      <c r="B89" s="126" t="s">
        <v>127</v>
      </c>
      <c r="C89" s="322">
        <v>103</v>
      </c>
    </row>
    <row r="90" spans="2:3" ht="14.5" x14ac:dyDescent="0.35">
      <c r="B90"/>
      <c r="C90"/>
    </row>
    <row r="92" spans="2:3" x14ac:dyDescent="0.3">
      <c r="B92" s="125" t="s">
        <v>126</v>
      </c>
      <c r="C92" s="88" t="s">
        <v>130</v>
      </c>
    </row>
    <row r="93" spans="2:3" x14ac:dyDescent="0.3">
      <c r="B93" s="126" t="s">
        <v>6</v>
      </c>
      <c r="C93" s="322">
        <v>103</v>
      </c>
    </row>
    <row r="94" spans="2:3" x14ac:dyDescent="0.3">
      <c r="B94" s="126" t="s">
        <v>127</v>
      </c>
      <c r="C94" s="322">
        <v>103</v>
      </c>
    </row>
    <row r="95" spans="2:3" ht="14.5" x14ac:dyDescent="0.35">
      <c r="B95"/>
      <c r="C95"/>
    </row>
    <row r="97" spans="2:3" x14ac:dyDescent="0.3">
      <c r="B97" s="125" t="s">
        <v>126</v>
      </c>
      <c r="C97" s="88" t="s">
        <v>132</v>
      </c>
    </row>
    <row r="98" spans="2:3" x14ac:dyDescent="0.3">
      <c r="B98" s="126" t="s">
        <v>6</v>
      </c>
      <c r="C98" s="322">
        <v>103</v>
      </c>
    </row>
    <row r="99" spans="2:3" x14ac:dyDescent="0.3">
      <c r="B99" s="126" t="s">
        <v>127</v>
      </c>
      <c r="C99" s="322">
        <v>103</v>
      </c>
    </row>
    <row r="100" spans="2:3" ht="14.5" x14ac:dyDescent="0.35">
      <c r="B100"/>
      <c r="C100"/>
    </row>
  </sheetData>
  <mergeCells count="2">
    <mergeCell ref="B14:B15"/>
    <mergeCell ref="C14:E14"/>
  </mergeCells>
  <conditionalFormatting sqref="E16:E44">
    <cfRule type="cellIs" dxfId="33" priority="19" operator="lessThan">
      <formula>0</formula>
    </cfRule>
    <cfRule type="cellIs" dxfId="32" priority="20" operator="greaterThanOrEqual">
      <formula>0.0001</formula>
    </cfRule>
  </conditionalFormatting>
  <conditionalFormatting sqref="G16:G44">
    <cfRule type="cellIs" dxfId="31" priority="1" operator="lessThan">
      <formula>0</formula>
    </cfRule>
    <cfRule type="cellIs" dxfId="30" priority="2" operator="greaterThanOrEqual">
      <formula>0.00001</formula>
    </cfRule>
  </conditionalFormatting>
  <pageMargins left="0.7" right="0.7" top="0.75" bottom="0.75" header="0.3" footer="0.3"/>
  <pageSetup paperSize="9" orientation="portrait" r:id="rId6"/>
  <ignoredErrors>
    <ignoredError sqref="J4:J7" calculatedColumn="1"/>
    <ignoredError sqref="F18" formulaRange="1"/>
  </ignoredErrors>
  <drawing r:id="rId7"/>
  <legacyDrawing r:id="rId8"/>
  <tableParts count="1">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Instructions</vt:lpstr>
      <vt:lpstr>⏱ Input</vt:lpstr>
      <vt:lpstr>📊 Progress</vt:lpstr>
      <vt:lpstr>📊 Summary</vt:lpstr>
      <vt:lpstr>'📊 Progress'!Print_Area</vt:lpstr>
      <vt:lpst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Siddhi Mukim</cp:lastModifiedBy>
  <cp:lastPrinted>2022-06-28T06:51:26Z</cp:lastPrinted>
  <dcterms:created xsi:type="dcterms:W3CDTF">2017-08-10T18:49:10Z</dcterms:created>
  <dcterms:modified xsi:type="dcterms:W3CDTF">2024-03-27T06:24:14Z</dcterms:modified>
</cp:coreProperties>
</file>